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K:\36-Planes\14-Mapa de Riesgos de Corrupción\"/>
    </mc:Choice>
  </mc:AlternateContent>
  <xr:revisionPtr revIDLastSave="0" documentId="8_{4E3D9FEB-9066-4E5F-A8D7-2636A6192E72}" xr6:coauthVersionLast="47" xr6:coauthVersionMax="47" xr10:uidLastSave="{00000000-0000-0000-0000-000000000000}"/>
  <bookViews>
    <workbookView xWindow="0" yWindow="0" windowWidth="14400" windowHeight="15600" xr2:uid="{CD986C28-3A50-42A5-8F64-0AD8C58226B0}"/>
  </bookViews>
  <sheets>
    <sheet name="Mapa final"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T98" i="1" l="1"/>
  <c r="Q98" i="1"/>
  <c r="K98" i="1"/>
  <c r="L98" i="1" s="1"/>
  <c r="M98" i="1" s="1"/>
  <c r="H98" i="1"/>
  <c r="T97" i="1"/>
  <c r="Q97" i="1"/>
  <c r="K97" i="1"/>
  <c r="L97" i="1" s="1"/>
  <c r="M97" i="1" s="1"/>
  <c r="G97" i="1"/>
  <c r="H97" i="1" s="1"/>
  <c r="T96" i="1"/>
  <c r="Q96" i="1"/>
  <c r="K96" i="1"/>
  <c r="L96" i="1" s="1"/>
  <c r="M96" i="1" s="1"/>
  <c r="G96" i="1"/>
  <c r="H96" i="1" s="1"/>
  <c r="T95" i="1"/>
  <c r="Q95" i="1"/>
  <c r="K95" i="1"/>
  <c r="L95" i="1" s="1"/>
  <c r="M95" i="1" s="1"/>
  <c r="AB95" i="1" s="1"/>
  <c r="AA95" i="1" s="1"/>
  <c r="G95" i="1"/>
  <c r="H95" i="1" s="1"/>
  <c r="I98" i="1" l="1"/>
  <c r="X98" i="1" s="1"/>
  <c r="N98" i="1"/>
  <c r="AB98" i="1"/>
  <c r="AA98" i="1" s="1"/>
  <c r="AB96" i="1"/>
  <c r="AA96" i="1" s="1"/>
  <c r="N97" i="1"/>
  <c r="I97" i="1"/>
  <c r="X97" i="1" s="1"/>
  <c r="I96" i="1"/>
  <c r="X96" i="1" s="1"/>
  <c r="N96" i="1"/>
  <c r="I95" i="1"/>
  <c r="X95" i="1" s="1"/>
  <c r="N95" i="1"/>
  <c r="AB97" i="1"/>
  <c r="AA97" i="1" s="1"/>
  <c r="Y98" i="1" l="1"/>
  <c r="AC98" i="1" s="1"/>
  <c r="Z98" i="1"/>
  <c r="Z96" i="1"/>
  <c r="Y96" i="1"/>
  <c r="AC96" i="1" s="1"/>
  <c r="Z95" i="1"/>
  <c r="Y95" i="1"/>
  <c r="AC95" i="1" s="1"/>
  <c r="Z97" i="1"/>
  <c r="Y97" i="1"/>
  <c r="AC97" i="1" s="1"/>
  <c r="T94" i="1" l="1"/>
  <c r="Q94" i="1"/>
  <c r="K94" i="1"/>
  <c r="L94" i="1" s="1"/>
  <c r="M94" i="1" s="1"/>
  <c r="H94" i="1"/>
  <c r="T93" i="1"/>
  <c r="Q93" i="1"/>
  <c r="K93" i="1"/>
  <c r="L93" i="1" s="1"/>
  <c r="H93" i="1"/>
  <c r="I93" i="1" s="1"/>
  <c r="T92" i="1"/>
  <c r="Q92" i="1"/>
  <c r="K92" i="1"/>
  <c r="L92" i="1" s="1"/>
  <c r="M92" i="1" s="1"/>
  <c r="H92" i="1"/>
  <c r="I92" i="1" s="1"/>
  <c r="T91" i="1"/>
  <c r="Q91" i="1"/>
  <c r="K91" i="1"/>
  <c r="L91" i="1" s="1"/>
  <c r="M91" i="1" s="1"/>
  <c r="H91" i="1"/>
  <c r="I91" i="1" s="1"/>
  <c r="T90" i="1"/>
  <c r="Q90" i="1"/>
  <c r="K90" i="1"/>
  <c r="L90" i="1" s="1"/>
  <c r="M90" i="1" s="1"/>
  <c r="G90" i="1"/>
  <c r="H90" i="1" s="1"/>
  <c r="T89" i="1"/>
  <c r="Q89" i="1"/>
  <c r="K89" i="1"/>
  <c r="L89" i="1" s="1"/>
  <c r="M89" i="1" s="1"/>
  <c r="G89" i="1"/>
  <c r="H89" i="1" s="1"/>
  <c r="T88" i="1"/>
  <c r="Q88" i="1"/>
  <c r="K88" i="1"/>
  <c r="T87" i="1"/>
  <c r="Q87" i="1"/>
  <c r="K87" i="1"/>
  <c r="L87" i="1" s="1"/>
  <c r="M87" i="1" s="1"/>
  <c r="G87" i="1"/>
  <c r="H87" i="1" s="1"/>
  <c r="X93" i="1" l="1"/>
  <c r="AB91" i="1"/>
  <c r="AA91" i="1" s="1"/>
  <c r="X91" i="1"/>
  <c r="Y91" i="1" s="1"/>
  <c r="AC91" i="1" s="1"/>
  <c r="N93" i="1"/>
  <c r="M93" i="1"/>
  <c r="AB93" i="1" s="1"/>
  <c r="AA93" i="1" s="1"/>
  <c r="AB89" i="1"/>
  <c r="AA89" i="1" s="1"/>
  <c r="AB87" i="1"/>
  <c r="N90" i="1"/>
  <c r="I90" i="1"/>
  <c r="X90" i="1" s="1"/>
  <c r="N94" i="1"/>
  <c r="I89" i="1"/>
  <c r="X89" i="1" s="1"/>
  <c r="N89" i="1"/>
  <c r="Z91" i="1"/>
  <c r="I87" i="1"/>
  <c r="X87" i="1" s="1"/>
  <c r="N87" i="1"/>
  <c r="Z93" i="1"/>
  <c r="Y93" i="1"/>
  <c r="AC93" i="1" s="1"/>
  <c r="AB94" i="1"/>
  <c r="AA94" i="1" s="1"/>
  <c r="AB90" i="1"/>
  <c r="AA90" i="1" s="1"/>
  <c r="X92" i="1"/>
  <c r="AB92" i="1"/>
  <c r="AA92" i="1" s="1"/>
  <c r="N92" i="1"/>
  <c r="I94" i="1"/>
  <c r="X94" i="1" s="1"/>
  <c r="N91" i="1"/>
  <c r="Y89" i="1" l="1"/>
  <c r="AC89" i="1" s="1"/>
  <c r="Z89" i="1"/>
  <c r="Z90" i="1"/>
  <c r="Y90" i="1"/>
  <c r="AC90" i="1" s="1"/>
  <c r="Z94" i="1"/>
  <c r="Y94" i="1"/>
  <c r="AC94" i="1" s="1"/>
  <c r="AA87" i="1"/>
  <c r="AB88" i="1"/>
  <c r="AA88" i="1" s="1"/>
  <c r="Z87" i="1"/>
  <c r="X88" i="1" s="1"/>
  <c r="Y87" i="1"/>
  <c r="Y92" i="1"/>
  <c r="AC92" i="1" s="1"/>
  <c r="Z92" i="1"/>
  <c r="Z88" i="1" l="1"/>
  <c r="Y88" i="1"/>
  <c r="AC88" i="1" s="1"/>
  <c r="AC87" i="1"/>
  <c r="T86" i="1" l="1"/>
  <c r="Q86" i="1"/>
  <c r="K86" i="1"/>
  <c r="L86" i="1" s="1"/>
  <c r="H86" i="1"/>
  <c r="I86" i="1" s="1"/>
  <c r="T85" i="1"/>
  <c r="Q85" i="1"/>
  <c r="K85" i="1"/>
  <c r="L85" i="1" s="1"/>
  <c r="M85" i="1" s="1"/>
  <c r="H85" i="1"/>
  <c r="T84" i="1"/>
  <c r="Q84" i="1"/>
  <c r="K84" i="1"/>
  <c r="L84" i="1" s="1"/>
  <c r="M84" i="1" s="1"/>
  <c r="AB84" i="1" s="1"/>
  <c r="AA84" i="1" s="1"/>
  <c r="H84" i="1"/>
  <c r="I84" i="1" s="1"/>
  <c r="T83" i="1"/>
  <c r="Q83" i="1"/>
  <c r="K83" i="1"/>
  <c r="L83" i="1" s="1"/>
  <c r="M83" i="1" s="1"/>
  <c r="H83" i="1"/>
  <c r="I83" i="1" s="1"/>
  <c r="N85" i="1" l="1"/>
  <c r="X84" i="1"/>
  <c r="Z84" i="1" s="1"/>
  <c r="N86" i="1"/>
  <c r="M86" i="1"/>
  <c r="AB86" i="1" s="1"/>
  <c r="AA86" i="1" s="1"/>
  <c r="X83" i="1"/>
  <c r="AB85" i="1"/>
  <c r="AA85" i="1" s="1"/>
  <c r="AB83" i="1"/>
  <c r="AA83" i="1" s="1"/>
  <c r="N84" i="1"/>
  <c r="N83" i="1"/>
  <c r="I85" i="1"/>
  <c r="X85" i="1" s="1"/>
  <c r="X86" i="1"/>
  <c r="Y84" i="1" l="1"/>
  <c r="AC84" i="1" s="1"/>
  <c r="Z83" i="1"/>
  <c r="Y83" i="1"/>
  <c r="AC83" i="1" s="1"/>
  <c r="Z85" i="1"/>
  <c r="Y85" i="1"/>
  <c r="AC85" i="1" s="1"/>
  <c r="Z86" i="1"/>
  <c r="Y86" i="1"/>
  <c r="AC86" i="1" s="1"/>
  <c r="T82" i="1" l="1"/>
  <c r="Q82" i="1"/>
  <c r="K82" i="1"/>
  <c r="T81" i="1"/>
  <c r="Q81" i="1"/>
  <c r="K81" i="1"/>
  <c r="T80" i="1"/>
  <c r="Q80" i="1"/>
  <c r="K80" i="1"/>
  <c r="T79" i="1"/>
  <c r="Q79" i="1"/>
  <c r="K79" i="1"/>
  <c r="L79" i="1" s="1"/>
  <c r="H79" i="1"/>
  <c r="I79" i="1" s="1"/>
  <c r="T78" i="1"/>
  <c r="AH78" i="1" s="1"/>
  <c r="Q78" i="1"/>
  <c r="K78" i="1"/>
  <c r="T77" i="1"/>
  <c r="Q77" i="1"/>
  <c r="K77" i="1"/>
  <c r="L77" i="1" s="1"/>
  <c r="M77" i="1" s="1"/>
  <c r="H77" i="1"/>
  <c r="AB77" i="1" l="1"/>
  <c r="AA77" i="1" s="1"/>
  <c r="X80" i="1"/>
  <c r="X79" i="1"/>
  <c r="N79" i="1"/>
  <c r="M79" i="1"/>
  <c r="AB79" i="1" s="1"/>
  <c r="N77" i="1"/>
  <c r="I77" i="1"/>
  <c r="AB78" i="1" l="1"/>
  <c r="AA78" i="1" s="1"/>
  <c r="Z79" i="1"/>
  <c r="Y79" i="1"/>
  <c r="AB80" i="1"/>
  <c r="AA79" i="1"/>
  <c r="Y80" i="1"/>
  <c r="Z80" i="1"/>
  <c r="X81" i="1" s="1"/>
  <c r="AH77" i="1"/>
  <c r="X77" i="1"/>
  <c r="Z81" i="1" l="1"/>
  <c r="X82" i="1" s="1"/>
  <c r="Y81" i="1"/>
  <c r="Z77" i="1"/>
  <c r="X78" i="1" s="1"/>
  <c r="Y77" i="1"/>
  <c r="AC77" i="1" s="1"/>
  <c r="AA80" i="1"/>
  <c r="AC80" i="1" s="1"/>
  <c r="AB81" i="1"/>
  <c r="AC79" i="1"/>
  <c r="Z78" i="1" l="1"/>
  <c r="Y78" i="1"/>
  <c r="AC78" i="1" s="1"/>
  <c r="AA81" i="1"/>
  <c r="AB82" i="1"/>
  <c r="AA82" i="1" s="1"/>
  <c r="AC81" i="1"/>
  <c r="Z82" i="1"/>
  <c r="Y82" i="1"/>
  <c r="AC82" i="1" l="1"/>
  <c r="T76" i="1" l="1"/>
  <c r="Q76" i="1"/>
  <c r="K76" i="1"/>
  <c r="T75" i="1"/>
  <c r="Q75" i="1"/>
  <c r="AB76" i="1" s="1"/>
  <c r="AA76" i="1" s="1"/>
  <c r="K75" i="1"/>
  <c r="T74" i="1"/>
  <c r="Q74" i="1"/>
  <c r="X75" i="1" s="1"/>
  <c r="K74" i="1"/>
  <c r="T73" i="1"/>
  <c r="Q73" i="1"/>
  <c r="K73" i="1"/>
  <c r="T72" i="1"/>
  <c r="Q72" i="1"/>
  <c r="AB73" i="1" s="1"/>
  <c r="AA73" i="1" s="1"/>
  <c r="K72" i="1"/>
  <c r="T71" i="1"/>
  <c r="Q71" i="1"/>
  <c r="K71" i="1"/>
  <c r="L71" i="1" s="1"/>
  <c r="M71" i="1" s="1"/>
  <c r="H71" i="1"/>
  <c r="T70" i="1"/>
  <c r="Q70" i="1"/>
  <c r="K70" i="1"/>
  <c r="T69" i="1"/>
  <c r="Q69" i="1"/>
  <c r="K69" i="1"/>
  <c r="T68" i="1"/>
  <c r="Q68" i="1"/>
  <c r="K68" i="1"/>
  <c r="T67" i="1"/>
  <c r="Q67" i="1"/>
  <c r="K67" i="1"/>
  <c r="T66" i="1"/>
  <c r="Q66" i="1"/>
  <c r="K66" i="1"/>
  <c r="T65" i="1"/>
  <c r="Q65" i="1"/>
  <c r="K65" i="1"/>
  <c r="L65" i="1" s="1"/>
  <c r="M65" i="1" s="1"/>
  <c r="H65" i="1"/>
  <c r="I65" i="1" s="1"/>
  <c r="T64" i="1"/>
  <c r="Q64" i="1"/>
  <c r="K64" i="1"/>
  <c r="T63" i="1"/>
  <c r="Q63" i="1"/>
  <c r="K63" i="1"/>
  <c r="T62" i="1"/>
  <c r="Q62" i="1"/>
  <c r="K62" i="1"/>
  <c r="T61" i="1"/>
  <c r="Q61" i="1"/>
  <c r="K61" i="1"/>
  <c r="T60" i="1"/>
  <c r="Q60" i="1"/>
  <c r="AB61" i="1" s="1"/>
  <c r="AA61" i="1" s="1"/>
  <c r="K60" i="1"/>
  <c r="T59" i="1"/>
  <c r="Q59" i="1"/>
  <c r="K59" i="1"/>
  <c r="L59" i="1" s="1"/>
  <c r="M59" i="1" s="1"/>
  <c r="I59" i="1"/>
  <c r="H59" i="1"/>
  <c r="T58" i="1"/>
  <c r="Q58" i="1"/>
  <c r="K58" i="1"/>
  <c r="T57" i="1"/>
  <c r="Q57" i="1"/>
  <c r="K57" i="1"/>
  <c r="T56" i="1"/>
  <c r="Q56" i="1"/>
  <c r="K56" i="1"/>
  <c r="T55" i="1"/>
  <c r="Q55" i="1"/>
  <c r="K55" i="1"/>
  <c r="T54" i="1"/>
  <c r="Q54" i="1"/>
  <c r="K54" i="1"/>
  <c r="T53" i="1"/>
  <c r="Q53" i="1"/>
  <c r="K53" i="1"/>
  <c r="L53" i="1" s="1"/>
  <c r="M53" i="1" s="1"/>
  <c r="H53" i="1"/>
  <c r="T52" i="1"/>
  <c r="Q52" i="1"/>
  <c r="K52" i="1"/>
  <c r="T51" i="1"/>
  <c r="Q51" i="1"/>
  <c r="K51" i="1"/>
  <c r="T50" i="1"/>
  <c r="Q50" i="1"/>
  <c r="K50" i="1"/>
  <c r="T49" i="1"/>
  <c r="Q49" i="1"/>
  <c r="K49" i="1"/>
  <c r="T48" i="1"/>
  <c r="Q48" i="1"/>
  <c r="K48" i="1"/>
  <c r="T47" i="1"/>
  <c r="Q47" i="1"/>
  <c r="K47" i="1"/>
  <c r="L47" i="1" s="1"/>
  <c r="M47" i="1" s="1"/>
  <c r="H47" i="1"/>
  <c r="I47" i="1" s="1"/>
  <c r="T46" i="1"/>
  <c r="Q46" i="1"/>
  <c r="K46" i="1"/>
  <c r="T45" i="1"/>
  <c r="Q45" i="1"/>
  <c r="K45" i="1"/>
  <c r="T44" i="1"/>
  <c r="Q44" i="1"/>
  <c r="K44" i="1"/>
  <c r="T43" i="1"/>
  <c r="Q43" i="1"/>
  <c r="K43" i="1"/>
  <c r="T42" i="1"/>
  <c r="Q42" i="1"/>
  <c r="K42" i="1"/>
  <c r="T41" i="1"/>
  <c r="Q41" i="1"/>
  <c r="K41" i="1"/>
  <c r="L41" i="1" s="1"/>
  <c r="H41" i="1"/>
  <c r="I41" i="1" s="1"/>
  <c r="T40" i="1"/>
  <c r="Q40" i="1"/>
  <c r="K40" i="1"/>
  <c r="T39" i="1"/>
  <c r="Q39" i="1"/>
  <c r="K39" i="1"/>
  <c r="T38" i="1"/>
  <c r="Q38" i="1"/>
  <c r="K38" i="1"/>
  <c r="T37" i="1"/>
  <c r="Q37" i="1"/>
  <c r="K37" i="1"/>
  <c r="T36" i="1"/>
  <c r="Q36" i="1"/>
  <c r="K36" i="1"/>
  <c r="T35" i="1"/>
  <c r="Q35" i="1"/>
  <c r="K35" i="1"/>
  <c r="L35" i="1" s="1"/>
  <c r="M35" i="1" s="1"/>
  <c r="H35" i="1"/>
  <c r="T34" i="1"/>
  <c r="Q34" i="1"/>
  <c r="K34" i="1"/>
  <c r="T33" i="1"/>
  <c r="Q33" i="1"/>
  <c r="K33" i="1"/>
  <c r="T32" i="1"/>
  <c r="Q32" i="1"/>
  <c r="K32" i="1"/>
  <c r="T31" i="1"/>
  <c r="Q31" i="1"/>
  <c r="K31" i="1"/>
  <c r="L31" i="1" s="1"/>
  <c r="H31" i="1"/>
  <c r="I31" i="1" s="1"/>
  <c r="T30" i="1"/>
  <c r="AH30" i="1" s="1"/>
  <c r="Q30" i="1"/>
  <c r="K30" i="1"/>
  <c r="T29" i="1"/>
  <c r="Q29" i="1"/>
  <c r="K29" i="1"/>
  <c r="L29" i="1" s="1"/>
  <c r="M29" i="1" s="1"/>
  <c r="H29" i="1"/>
  <c r="AB58" i="1" l="1"/>
  <c r="AA58" i="1" s="1"/>
  <c r="X60" i="1"/>
  <c r="AB29" i="1"/>
  <c r="AA29" i="1" s="1"/>
  <c r="AB39" i="1"/>
  <c r="AA39" i="1" s="1"/>
  <c r="X62" i="1"/>
  <c r="Z62" i="1" s="1"/>
  <c r="AB55" i="1"/>
  <c r="AA55" i="1" s="1"/>
  <c r="AB66" i="1"/>
  <c r="AA66" i="1" s="1"/>
  <c r="AB46" i="1"/>
  <c r="AA46" i="1" s="1"/>
  <c r="X63" i="1"/>
  <c r="Z63" i="1" s="1"/>
  <c r="AB52" i="1"/>
  <c r="AA52" i="1" s="1"/>
  <c r="AB54" i="1"/>
  <c r="AA54" i="1" s="1"/>
  <c r="AB42" i="1"/>
  <c r="AA42" i="1" s="1"/>
  <c r="X67" i="1"/>
  <c r="Z67" i="1" s="1"/>
  <c r="X64" i="1"/>
  <c r="Y64" i="1" s="1"/>
  <c r="X45" i="1"/>
  <c r="X40" i="1"/>
  <c r="Z40" i="1" s="1"/>
  <c r="AB59" i="1"/>
  <c r="AA59" i="1" s="1"/>
  <c r="X44" i="1"/>
  <c r="Y44" i="1" s="1"/>
  <c r="X49" i="1"/>
  <c r="Z49" i="1" s="1"/>
  <c r="X58" i="1"/>
  <c r="Y58" i="1" s="1"/>
  <c r="AC58" i="1" s="1"/>
  <c r="AB38" i="1"/>
  <c r="AA38" i="1" s="1"/>
  <c r="AB72" i="1"/>
  <c r="AA72" i="1" s="1"/>
  <c r="AB35" i="1"/>
  <c r="AA35" i="1" s="1"/>
  <c r="X43" i="1"/>
  <c r="Z43" i="1" s="1"/>
  <c r="X46" i="1"/>
  <c r="Z46" i="1" s="1"/>
  <c r="X57" i="1"/>
  <c r="Y57" i="1" s="1"/>
  <c r="X66" i="1"/>
  <c r="Z66" i="1" s="1"/>
  <c r="AB70" i="1"/>
  <c r="AA70" i="1" s="1"/>
  <c r="Y75" i="1"/>
  <c r="Z75" i="1"/>
  <c r="X32" i="1"/>
  <c r="Z32" i="1" s="1"/>
  <c r="X33" i="1" s="1"/>
  <c r="X36" i="1"/>
  <c r="Z36" i="1" s="1"/>
  <c r="AB63" i="1"/>
  <c r="AA63" i="1" s="1"/>
  <c r="AB68" i="1"/>
  <c r="AA68" i="1" s="1"/>
  <c r="AB75" i="1"/>
  <c r="AA75" i="1" s="1"/>
  <c r="AB44" i="1"/>
  <c r="AA44" i="1" s="1"/>
  <c r="AB49" i="1"/>
  <c r="AA49" i="1" s="1"/>
  <c r="AB56" i="1"/>
  <c r="AA56" i="1" s="1"/>
  <c r="N59" i="1"/>
  <c r="AB64" i="1"/>
  <c r="AA64" i="1" s="1"/>
  <c r="X65" i="1"/>
  <c r="X70" i="1"/>
  <c r="Z70" i="1" s="1"/>
  <c r="X47" i="1"/>
  <c r="Y47" i="1" s="1"/>
  <c r="AB51" i="1"/>
  <c r="AA51" i="1" s="1"/>
  <c r="N53" i="1"/>
  <c r="X31" i="1"/>
  <c r="Y31" i="1" s="1"/>
  <c r="AB37" i="1"/>
  <c r="AA37" i="1" s="1"/>
  <c r="X48" i="1"/>
  <c r="I53" i="1"/>
  <c r="AB69" i="1"/>
  <c r="AA69" i="1" s="1"/>
  <c r="X61" i="1"/>
  <c r="Z61" i="1" s="1"/>
  <c r="X74" i="1"/>
  <c r="Z74" i="1" s="1"/>
  <c r="X76" i="1"/>
  <c r="X41" i="1"/>
  <c r="Z41" i="1" s="1"/>
  <c r="AB47" i="1"/>
  <c r="AA47" i="1" s="1"/>
  <c r="N65" i="1"/>
  <c r="N35" i="1"/>
  <c r="N71" i="1"/>
  <c r="N29" i="1"/>
  <c r="Z60" i="1"/>
  <c r="Y60" i="1"/>
  <c r="N47" i="1"/>
  <c r="AB30" i="1"/>
  <c r="AA30" i="1" s="1"/>
  <c r="N31" i="1"/>
  <c r="M31" i="1"/>
  <c r="AB31" i="1" s="1"/>
  <c r="M41" i="1"/>
  <c r="AB41" i="1" s="1"/>
  <c r="AA41" i="1" s="1"/>
  <c r="N41" i="1"/>
  <c r="I29" i="1"/>
  <c r="I35" i="1"/>
  <c r="X35" i="1" s="1"/>
  <c r="AB40" i="1"/>
  <c r="AA40" i="1" s="1"/>
  <c r="AB43" i="1"/>
  <c r="AA43" i="1" s="1"/>
  <c r="X50" i="1"/>
  <c r="X53" i="1"/>
  <c r="AB57" i="1"/>
  <c r="AA57" i="1" s="1"/>
  <c r="AB60" i="1"/>
  <c r="AA60" i="1" s="1"/>
  <c r="AB74" i="1"/>
  <c r="AA74" i="1" s="1"/>
  <c r="X37" i="1"/>
  <c r="X51" i="1"/>
  <c r="X38" i="1"/>
  <c r="AB45" i="1"/>
  <c r="AA45" i="1" s="1"/>
  <c r="AB48" i="1"/>
  <c r="AA48" i="1" s="1"/>
  <c r="X52" i="1"/>
  <c r="X55" i="1"/>
  <c r="AB62" i="1"/>
  <c r="AA62" i="1" s="1"/>
  <c r="AB65" i="1"/>
  <c r="AA65" i="1" s="1"/>
  <c r="X69" i="1"/>
  <c r="I71" i="1"/>
  <c r="X72" i="1"/>
  <c r="X68" i="1"/>
  <c r="X71" i="1"/>
  <c r="X39" i="1"/>
  <c r="X42" i="1"/>
  <c r="X56" i="1"/>
  <c r="X59" i="1"/>
  <c r="X73" i="1"/>
  <c r="AB50" i="1"/>
  <c r="AA50" i="1" s="1"/>
  <c r="AB53" i="1"/>
  <c r="AA53" i="1" s="1"/>
  <c r="AB67" i="1"/>
  <c r="AA67" i="1" s="1"/>
  <c r="X54" i="1"/>
  <c r="AB36" i="1"/>
  <c r="AA36" i="1" s="1"/>
  <c r="AB71" i="1"/>
  <c r="AA71" i="1" s="1"/>
  <c r="Y40" i="1" l="1"/>
  <c r="Y67" i="1"/>
  <c r="Y62" i="1"/>
  <c r="AC62" i="1" s="1"/>
  <c r="Z57" i="1"/>
  <c r="Y49" i="1"/>
  <c r="AC49" i="1" s="1"/>
  <c r="Y46" i="1"/>
  <c r="AC46" i="1" s="1"/>
  <c r="Y63" i="1"/>
  <c r="AC63" i="1" s="1"/>
  <c r="Z44" i="1"/>
  <c r="Y36" i="1"/>
  <c r="AC64" i="1"/>
  <c r="Y43" i="1"/>
  <c r="AC43" i="1" s="1"/>
  <c r="Y32" i="1"/>
  <c r="Z31" i="1"/>
  <c r="Z64" i="1"/>
  <c r="Y41" i="1"/>
  <c r="AC41" i="1" s="1"/>
  <c r="AC44" i="1"/>
  <c r="Y61" i="1"/>
  <c r="AC61" i="1" s="1"/>
  <c r="Z58" i="1"/>
  <c r="Y70" i="1"/>
  <c r="AC70" i="1" s="1"/>
  <c r="Y66" i="1"/>
  <c r="AC66" i="1" s="1"/>
  <c r="AC40" i="1"/>
  <c r="Z45" i="1"/>
  <c r="Y45" i="1"/>
  <c r="AC45" i="1" s="1"/>
  <c r="AC47" i="1"/>
  <c r="Z47" i="1"/>
  <c r="Z48" i="1"/>
  <c r="Y48" i="1"/>
  <c r="AC48" i="1" s="1"/>
  <c r="Y74" i="1"/>
  <c r="AC74" i="1" s="1"/>
  <c r="Z65" i="1"/>
  <c r="Y65" i="1"/>
  <c r="AC65" i="1" s="1"/>
  <c r="Z76" i="1"/>
  <c r="Y76" i="1"/>
  <c r="AC76" i="1" s="1"/>
  <c r="AC75" i="1"/>
  <c r="Z71" i="1"/>
  <c r="Y71" i="1"/>
  <c r="AC71" i="1" s="1"/>
  <c r="Z37" i="1"/>
  <c r="Y37" i="1"/>
  <c r="AC37" i="1" s="1"/>
  <c r="Z35" i="1"/>
  <c r="Y35" i="1"/>
  <c r="AC35" i="1" s="1"/>
  <c r="Z68" i="1"/>
  <c r="Y68" i="1"/>
  <c r="AC68" i="1" s="1"/>
  <c r="Z52" i="1"/>
  <c r="Y52" i="1"/>
  <c r="AC52" i="1" s="1"/>
  <c r="Y53" i="1"/>
  <c r="AC53" i="1" s="1"/>
  <c r="Z53" i="1"/>
  <c r="AC60" i="1"/>
  <c r="AB32" i="1"/>
  <c r="AA31" i="1"/>
  <c r="AC31" i="1" s="1"/>
  <c r="Y33" i="1"/>
  <c r="Z33" i="1"/>
  <c r="X34" i="1" s="1"/>
  <c r="Z59" i="1"/>
  <c r="Y59" i="1"/>
  <c r="AC59" i="1" s="1"/>
  <c r="Z38" i="1"/>
  <c r="Y38" i="1"/>
  <c r="AC38" i="1" s="1"/>
  <c r="Z56" i="1"/>
  <c r="Y56" i="1"/>
  <c r="AC56" i="1" s="1"/>
  <c r="Z69" i="1"/>
  <c r="Y69" i="1"/>
  <c r="AC69" i="1" s="1"/>
  <c r="AC67" i="1"/>
  <c r="Z73" i="1"/>
  <c r="Y73" i="1"/>
  <c r="AC73" i="1" s="1"/>
  <c r="Z72" i="1"/>
  <c r="Y72" i="1"/>
  <c r="AC72" i="1" s="1"/>
  <c r="Z50" i="1"/>
  <c r="Y50" i="1"/>
  <c r="AC50" i="1" s="1"/>
  <c r="AH29" i="1"/>
  <c r="X29" i="1"/>
  <c r="Z54" i="1"/>
  <c r="Y54" i="1"/>
  <c r="AC54" i="1" s="1"/>
  <c r="Z42" i="1"/>
  <c r="Y42" i="1"/>
  <c r="AC42" i="1" s="1"/>
  <c r="AC57" i="1"/>
  <c r="Z39" i="1"/>
  <c r="Y39" i="1"/>
  <c r="AC39" i="1" s="1"/>
  <c r="Z51" i="1"/>
  <c r="Y51" i="1"/>
  <c r="AC51" i="1" s="1"/>
  <c r="Z55" i="1"/>
  <c r="Y55" i="1"/>
  <c r="AC55" i="1" s="1"/>
  <c r="AC36" i="1"/>
  <c r="Z34" i="1" l="1"/>
  <c r="Y34" i="1"/>
  <c r="AA32" i="1"/>
  <c r="AC32" i="1" s="1"/>
  <c r="AB33" i="1"/>
  <c r="Z29" i="1"/>
  <c r="X30" i="1" s="1"/>
  <c r="Y29" i="1"/>
  <c r="AC29" i="1" s="1"/>
  <c r="AA33" i="1" l="1"/>
  <c r="AC33" i="1" s="1"/>
  <c r="AB34" i="1"/>
  <c r="AA34" i="1" s="1"/>
  <c r="AC34" i="1" s="1"/>
  <c r="Z30" i="1"/>
  <c r="Y30" i="1"/>
  <c r="AC30" i="1" s="1"/>
  <c r="AB28" i="1" l="1"/>
  <c r="AA28" i="1" s="1"/>
  <c r="X28" i="1"/>
  <c r="Z28" i="1" s="1"/>
  <c r="T28" i="1"/>
  <c r="T27" i="1"/>
  <c r="Q27" i="1"/>
  <c r="K27" i="1"/>
  <c r="AB26" i="1"/>
  <c r="AA26" i="1" s="1"/>
  <c r="X26" i="1"/>
  <c r="Z26" i="1" s="1"/>
  <c r="T26" i="1"/>
  <c r="K26" i="1"/>
  <c r="L26" i="1" s="1"/>
  <c r="M26" i="1" s="1"/>
  <c r="H26" i="1"/>
  <c r="I26" i="1" s="1"/>
  <c r="AH26" i="1" l="1"/>
  <c r="Y26" i="1"/>
  <c r="AC26" i="1" s="1"/>
  <c r="N26" i="1"/>
  <c r="X27" i="1"/>
  <c r="AB27" i="1"/>
  <c r="AA27" i="1" s="1"/>
  <c r="Y28" i="1"/>
  <c r="AC28" i="1" s="1"/>
  <c r="Z27" i="1" l="1"/>
  <c r="Y27" i="1"/>
  <c r="AC27" i="1" s="1"/>
  <c r="AC25" i="1" l="1"/>
  <c r="X25" i="1"/>
  <c r="K25" i="1"/>
  <c r="T24" i="1"/>
  <c r="K24" i="1"/>
  <c r="T23" i="1"/>
  <c r="Q23" i="1"/>
  <c r="X24" i="1" s="1"/>
  <c r="K23" i="1"/>
  <c r="T22" i="1"/>
  <c r="Q22" i="1"/>
  <c r="K22" i="1"/>
  <c r="L22" i="1" s="1"/>
  <c r="M22" i="1" s="1"/>
  <c r="H22" i="1"/>
  <c r="I22" i="1" s="1"/>
  <c r="T21" i="1"/>
  <c r="Q21" i="1"/>
  <c r="K21" i="1"/>
  <c r="T20" i="1"/>
  <c r="Q20" i="1"/>
  <c r="K20" i="1"/>
  <c r="L20" i="1" s="1"/>
  <c r="M20" i="1" s="1"/>
  <c r="G20" i="1"/>
  <c r="H20" i="1" s="1"/>
  <c r="AB22" i="1" l="1"/>
  <c r="AA22" i="1" s="1"/>
  <c r="X22" i="1"/>
  <c r="Z22" i="1" s="1"/>
  <c r="X23" i="1" s="1"/>
  <c r="N20" i="1"/>
  <c r="Z24" i="1"/>
  <c r="Y24" i="1"/>
  <c r="I20" i="1"/>
  <c r="N22" i="1"/>
  <c r="AB23" i="1"/>
  <c r="AA23" i="1" s="1"/>
  <c r="AB24" i="1"/>
  <c r="AA24" i="1" s="1"/>
  <c r="AB20" i="1"/>
  <c r="AA20" i="1" s="1"/>
  <c r="Y22" i="1" l="1"/>
  <c r="AC22" i="1" s="1"/>
  <c r="Z23" i="1"/>
  <c r="Y23" i="1"/>
  <c r="AC23" i="1" s="1"/>
  <c r="AB21" i="1"/>
  <c r="AA21" i="1" s="1"/>
  <c r="AC24" i="1"/>
  <c r="X20" i="1"/>
  <c r="AH20" i="1"/>
  <c r="Z20" i="1" l="1"/>
  <c r="X21" i="1" s="1"/>
  <c r="Y20" i="1"/>
  <c r="AC20" i="1" s="1"/>
  <c r="Y21" i="1" l="1"/>
  <c r="AC21" i="1" s="1"/>
  <c r="Z21" i="1"/>
  <c r="AB19" i="1" l="1"/>
  <c r="AA19" i="1" s="1"/>
  <c r="X19" i="1"/>
  <c r="Z19" i="1" s="1"/>
  <c r="T19" i="1"/>
  <c r="K19" i="1"/>
  <c r="L19" i="1" s="1"/>
  <c r="H19" i="1"/>
  <c r="I19" i="1" s="1"/>
  <c r="AB18" i="1"/>
  <c r="AA18" i="1" s="1"/>
  <c r="X18" i="1"/>
  <c r="Y18" i="1" s="1"/>
  <c r="T18" i="1"/>
  <c r="K18" i="1"/>
  <c r="AB17" i="1"/>
  <c r="AA17" i="1" s="1"/>
  <c r="X17" i="1"/>
  <c r="Y17" i="1" s="1"/>
  <c r="T17" i="1"/>
  <c r="K17" i="1"/>
  <c r="L17" i="1" s="1"/>
  <c r="H17" i="1"/>
  <c r="I17" i="1" s="1"/>
  <c r="AC17" i="1" l="1"/>
  <c r="AC18" i="1"/>
  <c r="N19" i="1"/>
  <c r="M19" i="1"/>
  <c r="Y19" i="1"/>
  <c r="AC19" i="1" s="1"/>
  <c r="N17" i="1"/>
  <c r="M17" i="1"/>
  <c r="Z17" i="1"/>
  <c r="Z18" i="1"/>
  <c r="T16" i="1" l="1"/>
  <c r="Q16" i="1"/>
  <c r="X16" i="1" s="1"/>
  <c r="Z16" i="1" s="1"/>
  <c r="K16" i="1"/>
  <c r="T15" i="1"/>
  <c r="Q15" i="1"/>
  <c r="K15" i="1"/>
  <c r="L15" i="1" s="1"/>
  <c r="M15" i="1" s="1"/>
  <c r="H15" i="1"/>
  <c r="I15" i="1" s="1"/>
  <c r="X15" i="1" l="1"/>
  <c r="AH15" i="1"/>
  <c r="AB15" i="1"/>
  <c r="AA15" i="1" s="1"/>
  <c r="Y16" i="1"/>
  <c r="N15" i="1"/>
  <c r="AB16" i="1"/>
  <c r="AA16" i="1" s="1"/>
  <c r="AC16" i="1" l="1"/>
  <c r="Y15" i="1"/>
  <c r="AC15" i="1" s="1"/>
  <c r="Z15" i="1"/>
  <c r="T14" i="1" l="1"/>
  <c r="K14" i="1"/>
  <c r="L14" i="1" s="1"/>
  <c r="M14" i="1" s="1"/>
  <c r="AB14" i="1" s="1"/>
  <c r="AA14" i="1" s="1"/>
  <c r="H14" i="1"/>
  <c r="I14" i="1" s="1"/>
  <c r="T13" i="1"/>
  <c r="K13" i="1"/>
  <c r="L13" i="1" s="1"/>
  <c r="M13" i="1" s="1"/>
  <c r="AB13" i="1" s="1"/>
  <c r="AA13" i="1" s="1"/>
  <c r="H13" i="1"/>
  <c r="I13" i="1" s="1"/>
  <c r="T12" i="1"/>
  <c r="Q12" i="1"/>
  <c r="K12" i="1"/>
  <c r="T11" i="1"/>
  <c r="Q11" i="1"/>
  <c r="K11" i="1"/>
  <c r="L11" i="1" s="1"/>
  <c r="M11" i="1" s="1"/>
  <c r="AB11" i="1" s="1"/>
  <c r="AA11" i="1" s="1"/>
  <c r="H11" i="1"/>
  <c r="I11" i="1" s="1"/>
  <c r="T10" i="1"/>
  <c r="Q10" i="1"/>
  <c r="K10" i="1"/>
  <c r="L10" i="1" s="1"/>
  <c r="H10" i="1"/>
  <c r="I10" i="1" s="1"/>
  <c r="AH11" i="1" l="1"/>
  <c r="X14" i="1"/>
  <c r="Y14" i="1" s="1"/>
  <c r="AC14" i="1" s="1"/>
  <c r="N14" i="1"/>
  <c r="X11" i="1"/>
  <c r="AH13" i="1"/>
  <c r="AB12" i="1"/>
  <c r="AA12" i="1" s="1"/>
  <c r="X13" i="1"/>
  <c r="AH14" i="1"/>
  <c r="M10" i="1"/>
  <c r="AB10" i="1" s="1"/>
  <c r="AA10" i="1" s="1"/>
  <c r="N10" i="1"/>
  <c r="AH10" i="1"/>
  <c r="N11" i="1"/>
  <c r="N13" i="1"/>
  <c r="X10" i="1"/>
  <c r="Z14" i="1" l="1"/>
  <c r="Z11" i="1"/>
  <c r="X12" i="1" s="1"/>
  <c r="Y11" i="1"/>
  <c r="AC11" i="1" s="1"/>
  <c r="Z10" i="1"/>
  <c r="Y10" i="1"/>
  <c r="AC10" i="1" s="1"/>
  <c r="Z13" i="1"/>
  <c r="Y13" i="1"/>
  <c r="AC13" i="1" s="1"/>
  <c r="Y12" i="1" l="1"/>
  <c r="AC12" i="1" s="1"/>
  <c r="Z12" i="1"/>
</calcChain>
</file>

<file path=xl/sharedStrings.xml><?xml version="1.0" encoding="utf-8"?>
<sst xmlns="http://schemas.openxmlformats.org/spreadsheetml/2006/main" count="689" uniqueCount="279">
  <si>
    <t xml:space="preserve">Formato Mapa Riesgos </t>
  </si>
  <si>
    <t>Proceso:</t>
  </si>
  <si>
    <t xml:space="preserve">Oficina Asedora Juiridica </t>
  </si>
  <si>
    <t>Objetivo:</t>
  </si>
  <si>
    <t>Realizar la inspeccion, vigilancia y control de las sociedades de gestion colectiva, reconocer personeria juridica y autorizacion de funcionamiento de las sociedades de gestion colectiva y llevar  a cabo los procesos disciplinarios  internos,  resolver los derechos de peticion formulados por los ciudadanos en cuanto a las solicitudes que versan sobre conceptos de derecho de autor y conexos, asi como informacion general de las sociedades de gestion colectiva,  realizar la representacion judicial de la Direccion  Nacional de Derecho de Autor</t>
  </si>
  <si>
    <t>Alcance:</t>
  </si>
  <si>
    <t>Inicia con desarrollo de las funciones publicas establecidas en el articulo 4 del Decreto 4835 de 2008 hasta el establecimiento de acciones para el mejoramiento continuo.</t>
  </si>
  <si>
    <t>Identificación del riesgo</t>
  </si>
  <si>
    <t>Análisis del riesgo inherente</t>
  </si>
  <si>
    <t>Evaluación del riesgo - Valoración de los controles</t>
  </si>
  <si>
    <t>Evaluación del riesgo - Nivel del riesgo residual</t>
  </si>
  <si>
    <t>Plan de Acción</t>
  </si>
  <si>
    <t xml:space="preserve">Referencia </t>
  </si>
  <si>
    <t>Impacto</t>
  </si>
  <si>
    <t>Causa Inmediata</t>
  </si>
  <si>
    <t>Causa Raíz</t>
  </si>
  <si>
    <t>Descripción del Riesgo</t>
  </si>
  <si>
    <t>Clasificación del Riesgo</t>
  </si>
  <si>
    <t>Frecuencia con la cual se realiza la actividad</t>
  </si>
  <si>
    <t>Probabilidad Inherente</t>
  </si>
  <si>
    <t>%</t>
  </si>
  <si>
    <t>Criterios de impacto</t>
  </si>
  <si>
    <t>Observación de criterio</t>
  </si>
  <si>
    <t>Impacto 
Inherente</t>
  </si>
  <si>
    <t>Zona de Riesgo Inherente</t>
  </si>
  <si>
    <t>No. Control</t>
  </si>
  <si>
    <t>Descripción del Control</t>
  </si>
  <si>
    <t>Afectación</t>
  </si>
  <si>
    <t>Atributos</t>
  </si>
  <si>
    <t>Probabilidad Residual</t>
  </si>
  <si>
    <t>Probabilidad Residual Final</t>
  </si>
  <si>
    <t>Impacto Residual Final</t>
  </si>
  <si>
    <t>Zona de Riesgo Final</t>
  </si>
  <si>
    <t>Tratamiento</t>
  </si>
  <si>
    <t>Responsable</t>
  </si>
  <si>
    <t>Fecha Implementación</t>
  </si>
  <si>
    <t>Fecha Seguimiento</t>
  </si>
  <si>
    <t>Seguimiento</t>
  </si>
  <si>
    <t>Estado</t>
  </si>
  <si>
    <t>Tipo</t>
  </si>
  <si>
    <t>Implementación</t>
  </si>
  <si>
    <t>Calificación</t>
  </si>
  <si>
    <t>Documentación</t>
  </si>
  <si>
    <t>Frecuencia</t>
  </si>
  <si>
    <t>Evidencia</t>
  </si>
  <si>
    <t>Reputacional</t>
  </si>
  <si>
    <t>No se brinde una respuesta clara, congruente y completa según lo pedido en el derecho de peticion</t>
  </si>
  <si>
    <t>No responder o responder de manera incompleta o fuera del termino  la respectiva solitud</t>
  </si>
  <si>
    <t xml:space="preserve">Emitir conceptos y brindar asesorías juridicas sin la suficiente motivación o fuera del termino establecido en la ley </t>
  </si>
  <si>
    <t>Usuarios, productos y practicas , organizacionales</t>
  </si>
  <si>
    <t xml:space="preserve">     El riesgo afecta la imagen de la entidad a nivel nacional, con efecto publicitarios sostenible a nivel país</t>
  </si>
  <si>
    <t>Cuando se emita una respuesta se debe verificar que la legislacion en que se fundamenta se encuentre vigente y este acorde, tanto con la jurisprudencia, con la doctrina en temas de derechos de autor y derechos conexos. Unificando el criterio institucion de la DNDA</t>
  </si>
  <si>
    <t>Detectivo</t>
  </si>
  <si>
    <t>Automático</t>
  </si>
  <si>
    <t>Documentado</t>
  </si>
  <si>
    <t>Continua</t>
  </si>
  <si>
    <t>Con Registro</t>
  </si>
  <si>
    <t>Reducir (mitigar)</t>
  </si>
  <si>
    <t xml:space="preserve">1, Realizar capacitaciones con el fin de actualizar a los funcionarios en temas de derecho de autor y derecho conexos a efectos de emitir respuestas acertivas y acordes con  la legislacion actual.2.Desde la secreataria de la dependencia llevar  un control de respuesta a los terminos respecto a las solicitudes que requieran un pronunciamineto. </t>
  </si>
  <si>
    <t>Jefe Oficina Asesora Juridica</t>
  </si>
  <si>
    <t>En curso</t>
  </si>
  <si>
    <t>Económico y Reputacional</t>
  </si>
  <si>
    <t>Incurrir en pérdidas económicas y reputacionales</t>
  </si>
  <si>
    <t>Por la interposicion de medios de control por parte de las sociedades de gestion colectiva.</t>
  </si>
  <si>
    <t>Emitir actos administrativos sin la debida motivacion y/o vulneraldo el debido proceso administrativo</t>
  </si>
  <si>
    <t>Ejecucion y Administracion de procesos</t>
  </si>
  <si>
    <t xml:space="preserve">     Entre 100 y 500 SMLMV </t>
  </si>
  <si>
    <t xml:space="preserve">La  expedicion de los actos administrativos que se profieran con ocasión del ejercicio de las facultades de inspeccion, vigilancia y control por parte de la DNDA respecto de las sociedades de gestion colectiva deberan estar debidamente motivados y acorde a la legislacion vigente. </t>
  </si>
  <si>
    <t>Manual</t>
  </si>
  <si>
    <t>Sin Documentar</t>
  </si>
  <si>
    <t>Aleatoria</t>
  </si>
  <si>
    <t>Sin Registro</t>
  </si>
  <si>
    <t xml:space="preserve">Cumplir con el manual de procesos y procedimientos de la Oficina Asesora Juridca establecidos en el sistema de gestion de calidad. </t>
  </si>
  <si>
    <t>Profesionales de la Oficina Asesora Juridica</t>
  </si>
  <si>
    <t>Las actuaciones de tipo administrativo que se adelanten con ocasión del ejercicio de las facultades de inspeccion, vigilancia y control por parte de la DNDA respecto de las sociedades de gestion colectiva deberan observar el debido proceso y los principios que rigen las actuaciones de caracter administrativo sancionatorio.</t>
  </si>
  <si>
    <t>Cumplir con el manual de procesos y procedimientos de la Oficina Asesora Juridca establecidos en el sistema de gestion de calidad y verificar las normas procedimentales que rigen el caso particular.</t>
  </si>
  <si>
    <t>Interpocision de un medio de control por parte de los implicados.</t>
  </si>
  <si>
    <t>En las  actuaciones de tipo administrativo que  adelante la Oficina Asesora Jurirdica, en ejercicio de la función de coordinadora de control disciplinario interno  deberan observar el debido proceso y los principios procedimentales aplicables.</t>
  </si>
  <si>
    <t xml:space="preserve">     Entre 10 y 50 SMLMV </t>
  </si>
  <si>
    <t xml:space="preserve">La  expedicion de los actos administrativos que se profieran con ocasión del ejercicio de la facultad disciplinaria deberán estar debidamente motivados y acordes con la legislacion vigente. </t>
  </si>
  <si>
    <t>Probabilidad</t>
  </si>
  <si>
    <t>Preventivo</t>
  </si>
  <si>
    <t>Evitar</t>
  </si>
  <si>
    <t xml:space="preserve">Por la falta de seguimiento a los procesos de tipo jurisdiccional en los que es prte la DNDA. </t>
  </si>
  <si>
    <t xml:space="preserve">No actuar con la debida diligencia en pro de la defensa de los intereses de la entidad en los procesos en los que es parte. </t>
  </si>
  <si>
    <t xml:space="preserve">Seguimiento constante, permanente a las actuaciones judiciales a efectos de hacer una oportuna intervención que propendan por la proteccion de los intereses de la entidad. </t>
  </si>
  <si>
    <t>Realizar semanalmente revisión a los procesos a través de la plataforma de la rama judicial y mantener actualizados los registros en e-kogui.</t>
  </si>
  <si>
    <r>
      <rPr>
        <b/>
        <sz val="11"/>
        <color theme="9" tint="-0.249977111117893"/>
        <rFont val="Arial Narrow"/>
        <family val="2"/>
      </rPr>
      <t xml:space="preserve">*Nota: </t>
    </r>
    <r>
      <rPr>
        <sz val="11"/>
        <color theme="1"/>
        <rFont val="Arial Narrow"/>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</si>
  <si>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JURIDICA</t>
  </si>
  <si>
    <t>Realizar  de manera mensualizada la reunio de PAC para programar  las obligaciones contraídas por la entidad, las cuales se deben pagar en el transcurso de cada mes</t>
  </si>
  <si>
    <t>Realizar un análisis preciso de las cuentas por pagar, ingresar la información al sistema SIIF esperar el situado y  reprogramar el pago inmediatamente.</t>
  </si>
  <si>
    <t>Pagador  - Coordinador Fianciero</t>
  </si>
  <si>
    <t>Revisar las obligaciones y documentos soporte para realizar el pago al beneficiario que corresponda y de manera oprtuna.</t>
  </si>
  <si>
    <t>Perdida de dinero de la entidad</t>
  </si>
  <si>
    <t>No revisar los documentos soporte para relizar el correspondiente pago.</t>
  </si>
  <si>
    <t>Realizar un pago a un beneficiaro que no corresponda o realizar un pago por mayor valor.</t>
  </si>
  <si>
    <t xml:space="preserve">     El riesgo afecta la imagen de la entidad internamente, de conocimiento general, nivel interno, de junta dircetiva y accionistas y/o de provedores</t>
  </si>
  <si>
    <t xml:space="preserve"> incurrir en pérdidas económicas </t>
  </si>
  <si>
    <t>por el inadecuado manejo o control de la recepcion  y entrega de bienes adquirios por la entidad</t>
  </si>
  <si>
    <t xml:space="preserve">Recibir los elementos  adquiridos sin que estos  cumplan con las caracteristicas y cantidades solictadas; realizar el ingreso al almacen sin comprobantes de ordenes de compra y facturas; no entregar los isumos solicitados por las diferentes areas de la entidad por falta de los mismos </t>
  </si>
  <si>
    <t xml:space="preserve">     El riesgo afecta la imagen de la entidad con algunos usuarios de relevancia frente al logro de los objetivos</t>
  </si>
  <si>
    <t>Entregar al jefe de la dependencia  los comprobantes de ingreso de bienes adquiridos junto con sus respectivos soportes de compras , verificando las caracteristicas y cantidades acordadas</t>
  </si>
  <si>
    <t xml:space="preserve">realizar inventario fisico con el fin de corroborar las existencias en el almacen </t>
  </si>
  <si>
    <t>Económico</t>
  </si>
  <si>
    <t>incurrir en perdidas economicaa</t>
  </si>
  <si>
    <t xml:space="preserve">Actualizacion de inventarios </t>
  </si>
  <si>
    <t xml:space="preserve">Bienes deteriorados, obsoletos, desactualizados o sin uso que pueden estar generando en las cuentas contables una depreciacion y amortizacion con errores </t>
  </si>
  <si>
    <t>Daños Activos Fisicos</t>
  </si>
  <si>
    <t xml:space="preserve">     Afectación menor a 10 SMLMV .</t>
  </si>
  <si>
    <t xml:space="preserve">realizar perdiodicamente el inventario de bienes de la entidad verificando el estado fisico y  la funcionalidad. </t>
  </si>
  <si>
    <t xml:space="preserve">revisar perdiodicamente los bienes  y las inatalacines de la entidad con el fin de verificar su funcionalidad </t>
  </si>
  <si>
    <t>Tecnico Administrativo - Almacen</t>
  </si>
  <si>
    <t>31/11/2022</t>
  </si>
  <si>
    <t>informacion contable no fidedigana</t>
  </si>
  <si>
    <t>que la informacion cotable no refleje enforma fidedigna la situacion economica, social y ambiental de la entidad.</t>
  </si>
  <si>
    <t>incurrir en impresiciones en el registro de los hechos econimicos, sociales y ambientales de la entidad, generando informacion alejada de la realidad, efactando a los usuarios en la toma de desiciones, al no mostrar la contabiliad de manera fidedigna.</t>
  </si>
  <si>
    <t>Pérdida Reputacional</t>
  </si>
  <si>
    <t>se adelanta de manera mensual conciliacion entre contabilidad y el funcionario que administra la propiedad planta y equipo de entiad, con el fin de mantener el mismo saldo de los activos de la entidad, en caso de encontrar diferencias se procede a su busqueda e identificacion logrando asi evidenciar lo que la origino y se realiza el ajustte que corresponda, de igual manera le ejecucion de los pagos y de las cuentas por pagar, se realiza verificcion de los pagos realizados con funcionarios de compras, presupuesto y la tesoreria.</t>
  </si>
  <si>
    <t>publicar en la pagina d ela entidad los estados financieros, para conocimineto de la comunidad en general, aplicando el principio de publicidad</t>
  </si>
  <si>
    <t>Contador de la Entidad</t>
  </si>
  <si>
    <t xml:space="preserve">Madicionalmente en los cierres trimestrales que realiza la administracion de SIIF NACION, siendo esta la informacion que se carga al CHIP de la Contaduria General de la Nacion, dentro de la cual se realiza la verificacion de los saldos iniciales de caada trimestre y se verificacn las variaciones trimestrales y lo que origino la misma. </t>
  </si>
  <si>
    <t xml:space="preserve">Sensibilizar a los funcionarios y contratistas de la entidad, a partir de capacitaciones, en la importancia de emitir respuestas de fondo, completas, con atributos de calidad y acorde a la normatividad a las peticiones recibidas. </t>
  </si>
  <si>
    <t>aplicación de retenciones en la fuente de impuestos no establecidas en la notmatividad vigente.</t>
  </si>
  <si>
    <t xml:space="preserve"> debido a la no actualizacion de los funcionarios que realicen la retencion como el pago a los proveedores, contratistas y funcionarios, se practiquen retenciones en la fuente de impuestos que afecten a esas terceras personas naturales y/o juridicas.</t>
  </si>
  <si>
    <t>la aplicación incorrecta de retenciones en la fuente de impuestos afecta a los terceros relacionados y desdubuja la imagen de la entidad, generando la impoisicion de quejas en contra e inconformidad de estas personas afectando la credibilidad y confianza en la entidad.</t>
  </si>
  <si>
    <t>una vez se recepciona la ducumentacion que acredita el derecho a un pago de la entidad a un tercero beneficiario, se verifica la obligacion o no de expedir factura, los documentos adicionales que debe entragar, la calificacion que le haya otorgado como contribuyente la Direccion de Impuestos y Aduanas Nacionales tando de (gran contriyuyente, agente retenedor, autoretenedor, entre otros), para una vez verificado se connsulte la tabla de retencion en la fuente que le sea aplicable en lo que tiene que ver con las tarifas que sean establecidas.</t>
  </si>
  <si>
    <t>se debe capacitar a los funcionarios encargados del procedimiento con el fin de minimizar los errores evitarndo asi la mala imagen de la entidad con los terceros relacionados y la imposicion de quejas y/o solicitudes sobre este particular.</t>
  </si>
  <si>
    <t>Contabilidad</t>
  </si>
  <si>
    <t>1. 30/09/2022</t>
  </si>
  <si>
    <t>De manera mensual se realiza la verificacion d elas retenciones practicadas y se realizan los pagos de impuestos en lo que tiene que ver con la  Direccion de Impuestos y Aduanas Nacionales, se realiza la verificacion, liquidacion, presentacion de la declaracion de retencione la fuente y compensacion del impuesto como lo establece el calendario tributario que establezca la DIAN; en relacion con el impuesto de industria y comercio se realiza la verificacion, liquidacion, presentacion y pago como esta establecido en el calendario tributario que establece la secretaria de hacienda distrital.</t>
  </si>
  <si>
    <t xml:space="preserve"> incurrir en pérdidas económicas y reputacionales</t>
  </si>
  <si>
    <t>Desactulalizasion de inventario de archivo, documentación administrativa y obras</t>
  </si>
  <si>
    <t>La posible perdida de documentación, en este  caso obras literarias, ineditas, musicales</t>
  </si>
  <si>
    <t xml:space="preserve">     El riesgo afecta la imagen de de la entidad con efecto publicitario sostenido a nivel de sector administrativo, nivel departamental o municipal</t>
  </si>
  <si>
    <t>Cada vez que se requiera ,el encargado del area Archivo debe atender los requerimientos de las diferentes areas ,el directivo, jefe de la dependencia , debe verificar que  la respuesta este completa,en caso de que  la ejecución no se haya logrado(documento no encontrado) se debe realizar un plan de contingencia para lograr su entrega.</t>
  </si>
  <si>
    <t>Divulgar al interior de la entidad, mediante dos piezas comunicativas, la importancia de emitir respuestas de fondo, completas, con atributos de calidad y acorde a la normatividad a las peticiones recibidas.</t>
  </si>
  <si>
    <t>Profesional GIT Servicio Integral al Ciudadano</t>
  </si>
  <si>
    <t>Mensualmente ,el GIT de Servicio Integral al Ciudadano, debe Verificar a partir de una muestra aleatoria, que las respuestas generadas  cuentan con la aprobación del funcionario competente , en GESDOC el responsable debe darle aceptar para validar que la respuesta de la información suministrada, cumple con los atributos de calidad. En caso de identificar desviaciones en la ejecución del control, no se radicaria la respuesta y se devuelve al funcionario para que realice los ajustes a lugar. De la ejecución de los controles se generará la siguiente evidencia:Radicado de salida GESDOC desde el usuario del directivo o jefe de dependencia.</t>
  </si>
  <si>
    <t>Presencia de agentes contaminantes afectando la salud y la integridad de los funcionarios y el acervo documental. Deficientes condiciones ambientales de las instalaciones donde reposan los archivos. Inadecuada ubicación para el almacenamiento de los archivos. Deficientes rutinas de limpieza y desinfección de áreas</t>
  </si>
  <si>
    <t>Se debe  identificar el riesgo para lograr  una solución a sus efectos, de esta manera se   minimiza las afectaciones y alteraciones que sufren los materiales de archivo frente a factores externos o internos (propias de su fabricación),ademas de mantener la información que en ellos reposa.</t>
  </si>
  <si>
    <t xml:space="preserve">Ejecucion erronea del proceso de contratacion, no verificar la documentacion de los oferentes, no verificar los antescedentes ni demas documentos del proveedor al que se adjudica el contrato </t>
  </si>
  <si>
    <t>No aplicar las normas vigentes de contratacion publica, no aplicar los manuales de procedimiento ni efectuar el presupuesto asignado para contratacion, y no aplicar la modalidad correcta en alguna adquisicion de un bien o servicio a adquirir.</t>
  </si>
  <si>
    <t>No aplicar el proceso adecuado para la contratacion o adquisicion de bienes  servicio que requiere la entidad, en las plataformas asignadas por el gobierno colombiano, y no cumplir con el cronograma establecido para el proceso precontractual y post contractual.</t>
  </si>
  <si>
    <t>Verifiar el tipo de bien o servicio a contratar, y de acuerdo a la norma de contratacion publica, aplicar el proceso correcto y su debida justificacion.</t>
  </si>
  <si>
    <t>Tener conocimiento de los tipos de contratacion permitidos por la ley, verificar el bien o servico a adquirir, y capacitar con las guias que tengan cada plataforma para estar actualizados en que documentacion y proceso se lleva a cabo en cada tipologia de contratacion</t>
  </si>
  <si>
    <t>Profesional Especializado - Subdirector Administrativo y Financiero, y Coordinador Presupuestal y Jefe de Planeacion</t>
  </si>
  <si>
    <t>Realizar la contratacion de la entidad, de acuerdo al Plan Anual de Compras aprobado a inicio de año, por el Comitè de Contratacion y direccion general, y cualquier cambio que se realice, informar al jefe inmediato para su respectiva modificacion.</t>
  </si>
  <si>
    <t>Tener una planeacion de acuerdo a las necesidades de la entidad, y de acuerdo con la parte tecnica que exiga cada funcionario para adquirir ese bien o servicio, y tener un presupuesto acorde con lo aprobado por la entidad.</t>
  </si>
  <si>
    <t>Sanciones por Entidades de control tanto interno como externas</t>
  </si>
  <si>
    <t xml:space="preserve"> por la aplicación de sanciones por los entes de control, por celebracion de contratos que no esten en el Plan de Compras, o Desviar recursos publicos por mala celebracion de contratos</t>
  </si>
  <si>
    <t>Posibilidad de incurrir en pérdidas económicas y reputacionales, por la aplicación de sanciones por los entes de control, así como perdida de recursos asignasdos por la mala ejecucion y distribucion de los mismos y celebrar contratos que no son los aprobados, o celebrados que tengan que ver con delitos de corrupcion y delitos similares</t>
  </si>
  <si>
    <t>Verificar historial de los proveedores e interesados en contratar con la entidad, revisar la documentacion que se solicita, revisar en las paginas oficiales del estado, si algun proveedor interesado tiene alguna restriccion o sancion por incurrir en delitos contractuales</t>
  </si>
  <si>
    <t>Correctivo</t>
  </si>
  <si>
    <t>Actualizar el manual de procesos y procedimientos del àrea de compras, y dar a conocer a todos los funcionarios y contratistas, para una mayor comunicación interna de los procesos de la entidad y un mayor control en el manejo de los recursos publicos asignados y aprobados. así como ayudar a reportar cualquier novead que se tenga en tema contractual de la entidad.</t>
  </si>
  <si>
    <t>Subdirector Administrativo y Financiero y Coordinador de Talento Humano, Compras Presupesto y Tesoreria.</t>
  </si>
  <si>
    <t>tener precaucion a la hora de celebrar contratos con empresas o personas de baja reputacion, y reportar al jefe inmediato o entidad competente, si se deyecta alguna novedad con algun proveedor o empresa interesada en celebrar contratos</t>
  </si>
  <si>
    <t>buscar apoyo con las plataformas gubernamentles y demas que tengan informacion veras y real, para buscar informacion de cada proveedor o interesado en contratar con la entidad, para revisar su historial y antescedentes y no incurrir en delitos que perjudiquen el buen nombre de la entidad</t>
  </si>
  <si>
    <t>por la insatisfacción de los grupos de valor, debido a la no aplicación de análisis y planes de acción</t>
  </si>
  <si>
    <t xml:space="preserve">
 como resultado de las encuestas de percepción y el análisis consolidado de PQRS, así como la retroalimentación de los ejercicios de participación ciudadana.</t>
  </si>
  <si>
    <t>Posibilidad de afectación reputacional, por la insatisfacción de los grupos de valor, debido a la no aplicación de análisis y planes de acción, como resultado de las encuestas de percepción y el análisis consolidado de PQRS, así como la retroalimentación de los ejercicios de participación ciudadana.</t>
  </si>
  <si>
    <t>Cada vez que se requiera, el Coordinador del grupo interno de Servicio Integral al Ciudadano atender los casos de las respuestas que no se notificaron cuando el ciudadano así lo manifieste, para que la misma sea enviada inmediatamente. En caso de identificar desviaciones en la ejecución del control, se remitirá el caso al grupo interno de TICS para la revisión de los casos en la plataforma GESDOC. De la ejecución de los controles se generará la siguiente evidencia: soporte de la atención del caso y solución del mismo, efectuando la notificación.</t>
  </si>
  <si>
    <t xml:space="preserve">1. Revisar con la empresa que administra el GESDOC, la parametrización del trámite de notificación de radicados de salida, para que se condicione la finalización del mismo al cargue en la plataforma de la evidencia del envío/publicación, independiente de si el envío es virtual o presencial.
2. Implementar un control manual en donde aleatoriamente se tome una muestra trimestral de las respuestas de peticiones efectuadas por la entidad, con el propósito de identificar si las mismas fueron notificadas. </t>
  </si>
  <si>
    <t>GIT Servicio Integral al Ciudadano.</t>
  </si>
  <si>
    <t>1. 30/09/2022
2. 30/11/2022</t>
  </si>
  <si>
    <t>por demandas y quejas presentadas por los grupos de valor</t>
  </si>
  <si>
    <t xml:space="preserve"> 
 debido a la pérdida de la confidencialidad de los datos personales contenidos en los documentos.</t>
  </si>
  <si>
    <t>Posibilidad de incurrir en pérdida reputacional y económica, por demandas y quejas presentadas por los grupos de valor, debido a la pérdida de la confidencialidad de los datos personales contenidos en los documentos.</t>
  </si>
  <si>
    <t xml:space="preserve">Trimestralmente, el  GIT Servicio Integral al Ciudadano  efectúa seguimiento al cumplimiento de las actividades programadas dentro de la estrategia anual de Participación Ciudadana y solicita el reporte de resultados de los mismos. En caso de identificar desviaciones en la ejecución del control, se enviará comunicación reiterando el envío inmediato de la información. De la ejecución de los controles se generará la siguiente evidencia: Comunicado de seguimiento a la ejecución de la estrategia de participación ciudadana y registro del avance de ejecución de la estrategia en el informe de gestión trimestral de servicio al ciudadano. </t>
  </si>
  <si>
    <t xml:space="preserve">1. Actualizar el  procedimiento SI-PD-013 Gestión de la participación ciudadana efectiva y los formatos asociados, para fortalecer el análisis y formulacion de mejoras que involucren los resultados de la participación de los grupos de valor.
</t>
  </si>
  <si>
    <t>Profesional Especializado GIT Servicio Integral al Ciudadano</t>
  </si>
  <si>
    <t>1. 30/07/2022</t>
  </si>
  <si>
    <t>aplicación de sanciones por los entes de control, así como quejas por parte de los grupos de valor</t>
  </si>
  <si>
    <t>debido al incumplimiento de requisitos con respecto a acceso a los canales de atención, servicios e instalaciones, para personas en condición de discapacidad.</t>
  </si>
  <si>
    <t>Posibilidad de incurrir en pérdidas económicas y reputacionales, por la aplicación de sanciones por los entes de control, así como quejas por parte de los grupos de valor, debido al incumplimiento de requisitos con respecto a acceso a los canales de atención, servicios e instalaciones, para personas en condición de discapacidad.</t>
  </si>
  <si>
    <t>Cada vez que se requiera ,el Coordinador de GITservicio integral al ciudadano, debe validar con el GIT TIC la recomendación de control de los accesos y permisos en GESDOC en el manejo de la información por parte de los funcionarios y contratistas asignados, El coordinador resaltará la importancia de establecer los permisos de acceso a la información de los terceros que presentan peticiones.. En caso de identificar desviaciones en la ejecución del control, Se realizará un llamado de atención vía correo electrónico. De la ejecución de los controles se generará la siguiente evidencia:correo electrónico con recomendaciones de configuración de accesos, dirigido al GIT TICs</t>
  </si>
  <si>
    <t>Actualizar el procedimiento interno SI-PD-014 Recepción, trámite y respuesta de PQRSD, incluyendo de manera formal, la recomendación de control de los accesos y permisos en GESDOC en el manejo de la información por parte de los funcionarios y contratistas asignados, resaltando la importancia de establecer los permisos de acceso a la información de los terceros que presentan peticiones.</t>
  </si>
  <si>
    <t xml:space="preserve">Coordinación GIT Servicio integral al ciudadano. </t>
  </si>
  <si>
    <t>1. 31/10/2022</t>
  </si>
  <si>
    <t>Fallas en el sistema,mala informacion brindada por jefe inmediato, desconocimiento norma prsupuestal, mala destinacion de los recursos aprobados a la entidad de acuerdo a lo parobado por el MHCP</t>
  </si>
  <si>
    <t>desconocimieto de la norma presupuestal vigente, no conocimento del proceso establecido por la entidad, no seguir las instrucciones dadas por el jefe inmediato financiero u coordinador presupuestal.</t>
  </si>
  <si>
    <t>Emitir certificados y documentos presupuestales erroneos, o con informacion falsa,  o con cifras que no concuerden con lo arrojado en el sistema SIIF Nación II, por mala interpretacion de la informacion brindada por el solicitante, o mala interpretacion de dicha informacion.</t>
  </si>
  <si>
    <t>Verificar la disponibilidad de los recursos antes de realizar los pagos correspondientes, revisar que la informacion este acorde a lo contratado, verificar que los valores y demas tributos aplicados esten de acuerdo a la  norma fiscal y presupuestal vigente, y revisar que toda documentacion cumpla con lo establecido en el Codigo de comercio y demas normas correspondientes, asi de tener control de pagos realizados de acuerdo a los informes internos presentados al Jefe Presupuestal y financiero.</t>
  </si>
  <si>
    <t>Tener conocimiento de la norma presupuestal vigente, emitida por el Ministerio de Hacienda y Credito Público, los manuales de procesos y procedimientos y las guias de cada proceso de registro de contratos y legalizacion de pagos en el sistema SIIF Nación</t>
  </si>
  <si>
    <t>Estar al dia con los pagos mensuales tano de los contratos celebrados, servicios publicos, nomina y demas obligacioes fiscales y tributarias que tenga la entidad con usuarios  y entidades externas.</t>
  </si>
  <si>
    <t>Revisar que los pagos se realicen en los tiempos establecidos, revisar que la documentacion este al dia con lo exigido en los contratos celebrados, que dicha documentacion cumpla con la norma vigente, que las fechas de facturas esten dentro del mes a pagar y cumplan con las normas comerciales y tributarias vigentes.</t>
  </si>
  <si>
    <t xml:space="preserve"> por la aplicación de sanciones por los entes de control, así como perdida de recursos asignasdos por la mala ejecucion y distribucion de los mismos. </t>
  </si>
  <si>
    <t xml:space="preserve">Posibilidad de incurrir en pérdidas económicas y reputacionales, por la aplicación de sanciones por los entes de control, así como perdida de recursos asignasdos por la mala ejecucion y distribucion de los mismos </t>
  </si>
  <si>
    <t>Diariamente, se debe revisar que presupuesto se ha ejecutado, llevar el contro del mismo, y de acuerdo a ello, informar al coordinador presupuestal y financiero, para asi poder ejecutar tanto los contratos que se van a celebrar, como los pagos que se programen en el mes.</t>
  </si>
  <si>
    <t>Actualizar el manual de procesos y procedimientos del grupo financiero, y dar a conocer a todos los funcionarios y contratistas, para una mayor comunicación interna de los procesos de la entidad y un mayor control en el manejo de los recursos publicos asignados y aprobados.</t>
  </si>
  <si>
    <t>Realizar capaticaciones a los contratistas, supervisores, y dueños de pagos de obligaciones, para que esten actualizados en los requisitos de pago de dichas obligaciones y los tiempos establecidos por el grupo financiero, para que se cumplan las obligaciones en el cronograma establecido por el area financiera de la entidad</t>
  </si>
  <si>
    <t>Cada vez que se requiera, el Coordinador del grupo interno de TICS mediante notificaciones automáticas enviará alertas desde GESDOC a los correos electrónicos de los responsables de las respuestas de peticiones, cuando falten dos (2) días para el vencimiento. En caso de identificar desviaciones en la ejecución del control, el GIT servicio integral al ciudadano solicita soporte para el ajuste del sistema GESDOC. De la ejecución de los controles se generará la siguiente evidencia: Correo electrónicos con alertas de vencimiento próximo.</t>
  </si>
  <si>
    <t>Cuando se termine un contrao, o se finalice una obligacion, la persona ecargada debe informar al Coordinador financiero y Presupuestal, para asi tener un mayor control de dicha obligacion y reportat al Subdirector Financiero que obligaciones hay pendientes o ya culminaron su proceso interno en la entiad.</t>
  </si>
  <si>
    <t>ADMINISTRATIVA</t>
  </si>
  <si>
    <t>Recepción irregular de documentos</t>
  </si>
  <si>
    <t xml:space="preserve">Debido al incumplimiento de los requisitos estipulados en el protocolo para radicacion de documentos </t>
  </si>
  <si>
    <t>Posibilidad de incurrir en pérdidas reputacionales, por no poder gestionar y conservar los documentos de manera en que fueron aportados</t>
  </si>
  <si>
    <t xml:space="preserve">     El riesgo afecta la imagen de alguna área de la organización</t>
  </si>
  <si>
    <t>La persona encargada de la recepción de la correspondencia dirigida a la Subdirección de Asuntos Jurisdiccionales verifica a diario que cumpla con el protocolo establecido,</t>
  </si>
  <si>
    <t>Pérdida de documentos pertenecientes a los expedientes que se encuentran activos en Subdirección de Asuntos Jurisdiccionales</t>
  </si>
  <si>
    <t>Debido a errores al momento de dar manejo a las carpetas que contienen los expedientes</t>
  </si>
  <si>
    <t>Posibilidad de incurrir en perdidas reputacionales por la desaparición de documentos pertenecientes a os expedientes activos a cargo de la Subdirección</t>
  </si>
  <si>
    <t>Fallas Tecnologicas</t>
  </si>
  <si>
    <t>La persona encargada de dar accesos a los expedientes digitales límita la facultad de edición de los demás funcionarios y de los usuarios para que no puedan ser borrados los archivos cargados.</t>
  </si>
  <si>
    <t>Incumplimiento de los términos consagrados en la ley</t>
  </si>
  <si>
    <t xml:space="preserve">Falta de seguimiento y control de los expedientes o exceso de carga relativa al número de funcionarios y cantidad de trámites
</t>
  </si>
  <si>
    <t>Posibilidad de incurrir en pérdidas reputacionales, por perder competencia en los trámites a cargo de la Subdirección</t>
  </si>
  <si>
    <t>Los abogados deben presentar dos veces al mes un informe de los trámites a cargo y en el cual se lleva el control de las fechas de pérdida de competencia</t>
  </si>
  <si>
    <t>Imposibilidad de prestación del servicio por razón tecnologica o por fuerza mayor.</t>
  </si>
  <si>
    <t>Problemas con las licencias contratadas o  fuerza mayor.</t>
  </si>
  <si>
    <t>Posibilidad de incurrir en perdidas reputacionales por no poder prestar el servicio con normalidad debido a problemas tecnológicos relacionados con los expedientes virtuales activos</t>
  </si>
  <si>
    <t>La persona encargada de la Secretaría de la Subdirección, realiza un back up anual de los expedientes activos</t>
  </si>
  <si>
    <t>SUBDIRECCION DE ASUNTOS JURISDICCIONALES</t>
  </si>
  <si>
    <t xml:space="preserve">Falta de disponibilidad de abogados para la programacion de las capacitaciones.  </t>
  </si>
  <si>
    <t xml:space="preserve">No contar con el suficiente personal capacitado para atender las solicitudes de capacitacion que se reciben.   </t>
  </si>
  <si>
    <t>Las actividades de capacitación implican el concurso de funcionarios de diversas oficinas de la DNDA, principalmente abogados, que deben sacar tiempo de sus actividades diarias para realizar la capacitación.</t>
  </si>
  <si>
    <t>Se elabora un cronograma mensual con la solicitudes y los abogados asignados a cada conferencia.</t>
  </si>
  <si>
    <t>Previamente se designa un conferencista suplente que reemplace al asignado en caso de una eventualidad. Si el conferencista suplente no pueda asistir se reprograma la conferencia.</t>
  </si>
  <si>
    <t>Secretario, Subdirección Técnica de Capacitación, Investigación y Desarrollo</t>
  </si>
  <si>
    <t>Se solicita a los usuarios interesados, programar las actividades de capacitación con 30 días de antelación, para garantizar la disponibilidad de agenda.</t>
  </si>
  <si>
    <t xml:space="preserve">Levantar un cronograma mensual de las capacitaciones programadas y confirmadas, con asignacion de abogado para cada actividad. </t>
  </si>
  <si>
    <t>La entidad que invita no cumple con el requisito de cubrir los transportes del conferencista.</t>
  </si>
  <si>
    <t xml:space="preserve">Las actividades de capacitación implican el recorrido de los conferencistas de la DNDA a la ciudad o al lugar señalado para la misma. </t>
  </si>
  <si>
    <t>Los conferencistas cubren los gastos de desplazamiento al lugar de la capacitación, para cumplir con el compromiso.</t>
  </si>
  <si>
    <t>Como requisito para prestar el servicio, se solicita a la entidad interesada que cubra los gastos de desplazamiento del conferencista y si es fuera de la ciudad, se solicita transportes y viáticos, y que tenga una asistencia de 30 personas mínimo.</t>
  </si>
  <si>
    <t>Cuando la entidad que invita tiene inconvenientes en el cubrimiento de los gastos, se estudia la posibilidad de cubrirlos con recursos de la entidad. 
Que cuando ocurran estos casos, la entidad cubra los gastos de traslado de los abogados, teniendo en cuenta que ya realizaron la actividad encomendada.</t>
  </si>
  <si>
    <t xml:space="preserve">No se presenten pasantes o judicantes a realizar su práctica en la DNDA. </t>
  </si>
  <si>
    <t xml:space="preserve">No hay apoyo de estudiantes de la práctica Jurídica en las diferentes actividades de las oficinas.  </t>
  </si>
  <si>
    <t>Al inicio de cada semestre se contacta a las universidades que tengan programa de Derecho en Bogotá, para que los estudiantes de últimos semestres se presenten en la oficina a realizar su práctica estudiantil, Consultorio Jurídico, o judicatura ad hónorem.</t>
  </si>
  <si>
    <t xml:space="preserve">Se realizan convocatorias a las diferentes universidades, sobre la vinculación de estudaintes  a la entidad como judicante o pasante. </t>
  </si>
  <si>
    <t xml:space="preserve">Realizar charlas con los estudiantes de últimos semestres de Consultorio Jurídico, colocar avisos informativos en las carteleras de las Universidades y en las oficians de Consultorio Jurídico, enviar convocatorias por correo electronico a cada una de las universidades interesadas. </t>
  </si>
  <si>
    <t>Profesional Universitario, Subdirección Técnica de Capacitación, Investigación y Desarrollo</t>
  </si>
  <si>
    <t>Una vez vinculados los estudiantes como judicantes o pasantes, no cumplen con las actividades asignadas.</t>
  </si>
  <si>
    <t xml:space="preserve">Perdida de tiempo cuando el resultado de las actividades no sea el esperado y se tenga que corregir o volver a hacer las cosas. </t>
  </si>
  <si>
    <t xml:space="preserve">Los estudiantes que realizan sus pasantías o judicatura ad hónorem en  jurídica, Registro y Capacitación tienen  actividades especificas que deben cumplir durante el tiempo establecido. </t>
  </si>
  <si>
    <t>Se elaboran cronogramas de actividades y planillas de asistencia para cada uno de los estudiantes, al final se evalua toda la práctica.</t>
  </si>
  <si>
    <t xml:space="preserve">Elaborar un plan de trabajo con cada uno de los estudiantes que ingresan a realizar sus pasantias y judicatura, identificando tareas, tiempos y responsabilidades, al final se presenta una evalauciaon y una certificación de las actividades cumplidas </t>
  </si>
  <si>
    <t xml:space="preserve">Subdirección Técnica de Capacitación, Investigación y Desarrollo, los coordinadores de cada una de las áreas. </t>
  </si>
  <si>
    <t>Problemas  técnicos para  realizar una videoconferencia.</t>
  </si>
  <si>
    <t>Se cancela la videoconferencia, se pierde tiempo tanto del conferencista como de las personas que quieren asistir y se pierde el interes en la charla.</t>
  </si>
  <si>
    <t>Cuando se programa una videoconferencia se hacen las respectivas pruebas antes de iniciar, sin embargo puede presentar fallas de audio, video y se puede caer la llamada.</t>
  </si>
  <si>
    <t xml:space="preserve">Previamente a la fecha de la videoconferencia, se realizarán pruebas de carácter técnico para verificar la compatibilidad en la conexión. </t>
  </si>
  <si>
    <t>Se informa  a Sistemas para que se realicen más pruebas que garanticen el buen desarrollo de la videoconferencia o se trata de reprogramar la activiadad. Proponer por parte de sistemas nuevos planes de cobertura de Internet, para que la comunicación sea clara y continua durante el tiempo que dure la videoconferencia.</t>
  </si>
  <si>
    <t>Subdirección Técnica de Capacitación, Investigación y Desarrollo</t>
  </si>
  <si>
    <t>No cumplir con la meta anual de capacitar a autores y creadores de obras, debido a la falta de solicitudes de eventos de entidades que cumplan con el perfil de la meta.</t>
  </si>
  <si>
    <t xml:space="preserve">No cumplir con la meta anual propuesta </t>
  </si>
  <si>
    <t>Son escasas las solicitudes de capacitacion que solicitan para este sector de las industrias creativas</t>
  </si>
  <si>
    <t>Cuando se programa capacitaciones identificar bien el publico al que se le va dictar la charla, a la hora de colocar los datos en el aplicativo de capacitación</t>
  </si>
  <si>
    <t>Identificar el publico objetivo, para enviar invitaciones ofreciendo el servicio de capacitaciones sobre el tema "Derecho de autor en las industrias creativas"</t>
  </si>
  <si>
    <t xml:space="preserve">No cumplir con la meta asignada mensualmente de personas capacitadas, y actividades programadas </t>
  </si>
  <si>
    <t>Meses del año que no hay mucha actividad academica.</t>
  </si>
  <si>
    <t xml:space="preserve">De a cuerdo a los indicadores del plan de acción anual, hay unas metas mensuales, que en algunos meses del año no se pueden cumplir, por ser temporadas de vacaciones de universidades y colegios.  </t>
  </si>
  <si>
    <t xml:space="preserve">Tratar de recuperar la meta propuesta en los meses que hay mas solicitudes de capacitación. </t>
  </si>
  <si>
    <t xml:space="preserve">SUBDIRECCION TECNICA DE CAPACITACION </t>
  </si>
  <si>
    <t xml:space="preserve">Oportunidad de efectuar los registros , en razon al no  cumplimiento de los requisitos legales parasu inscripcion.
</t>
  </si>
  <si>
    <t>Inscripción de obras, producciones y contratos en el Registro Nacional de Derecho de Autor.</t>
  </si>
  <si>
    <t xml:space="preserve">Al realizar la revisión manual o digital de cada una de las solicitudes de registro,  no se cumplan con los requisitos en los términos establecidos por del Decreto 1066 de 2015. </t>
  </si>
  <si>
    <t>La Inscripción de obras, producciones y contratos en el Registro Nacional de Derecho de Autor, requiere de una previa  revisión manual o digital de la solicitud que cumpla con los requisitos establecidos  por de Decreto 1066 de 2015.</t>
  </si>
  <si>
    <t>Garantizar una pronta y eficiente Inscripción de obras, producciones y contratos en el marco de la actividad registral de la Oficina.</t>
  </si>
  <si>
    <t>Grupo Interno de Trabajo Oficina de Registro.</t>
  </si>
  <si>
    <t>Incumplimiento en la respuesta,  a solicitudes varias por la oficina de registro nacional de derecho de autor.</t>
  </si>
  <si>
    <t>Atencion a solicitudes varias por el Registro Nacional de derecho de autor.</t>
  </si>
  <si>
    <t>No generarar respuesta oportuna en la atencion a solicitudes varias por la oficina de Registro Nacional de derecho de autor.</t>
  </si>
  <si>
    <t>La oficina de registro realizará permanente seguimiento a una oportuna respuesta a la atención de solicitudes varias.</t>
  </si>
  <si>
    <t xml:space="preserve">Garantizar de forma permanente la atencion a solicitudes varias con ocasión de la función registral.
</t>
  </si>
  <si>
    <t>Al momento de la devolucion no se genera el certificado en el Registro Nacional de Derechos de Autor.</t>
  </si>
  <si>
    <t xml:space="preserve"> Devolución,  de obras para su inscripción en el Registro Nacional de Derecho de Autor.</t>
  </si>
  <si>
    <t>Eventual afectación por el no cumplimiento de los requisitos legales para su incripcion en el Registro Nacional de Derechos de Autor.</t>
  </si>
  <si>
    <t xml:space="preserve">Seguimiento constante del cumplimiento de los procedimientos inherentes al proceso de Registro de Derecho de Autor, para que los trámites allí inmersos se cumplan en el marco de la ley y del sistema de gestión de calidad de la entidad. </t>
  </si>
  <si>
    <t xml:space="preserve">Adoptar los correctivos que resulten procedentes para un oportuno cumplimiento en la función del Registro Nacional de Derecho de Autor.
</t>
  </si>
  <si>
    <t>OFICINA DE REGISTRO</t>
  </si>
  <si>
    <t>UNIDAD DE COMUNICACIONES, SERVICIO AL CIUDADANO Y TECNOLOGÍAS DE LA INFORMACIÓN -UCSTI</t>
  </si>
  <si>
    <t xml:space="preserve">Posibilidad de recibir dádivas o beneficios a nombre propio o de terceros al realizar trámites sin el cumplimiento de los requisitos o por cobrar por un trámite sin costo definido.
</t>
  </si>
  <si>
    <t>Exigencia de cobro para la realización de un trámite o servicio cuando este no presenta este requisito o cuando el ciudadano no aporta todos los documentos para la gestión del mismo.</t>
  </si>
  <si>
    <t xml:space="preserve">El servidor público que coordina la UCSTI, valida que el personal de servicio al ciudadano no esté recibiendo dinero o dadivas por la realización de un trámite, esto se realiza mediante la implementación de las siguientes estrategias: - Calificación de la satisfacción ciudadana con los servicios brindados (periodicidad trimestralmente).  - Ciudadano oculto con el personal de servicio a la ciudadanía que se encarga de recibir la solicitud de un trámite en la única sede de la DNDA, ubicada en Bogotá, con el objetivo de validar que no estén realizando un cobro indebido o recibiendo una dadiva; su periodicidad será una vez al año. - Revisión de las PQRS recibidas (periodicidad trimestral) - Aviso en las carteleras de las sedes en donde se indique que todos los trámites y servicios de la DNDA son gratuitos, así como en las redes sociales de la DNDA. En caso de encontrar que el servidor o contratista está recibiendo dadivas, se realizaran las sanciones estipuladas para tal fin. </t>
  </si>
  <si>
    <t>Usuarios, productos y practicas organizacionales</t>
  </si>
  <si>
    <t>Corrupción</t>
  </si>
  <si>
    <t xml:space="preserve">Calificación de la satisfacción ciudadana con los servicios brindados (periodicidad trimestralmente).  - Ciudadano oculto con el personal de servicio a la ciudadanía que se encarga de recibir la solicitud de un trámite en la única sede de la DNDA, ubicada en Bogotá, con el objetivo de validar que no estén realizando un cobro indebido o recibiendo una dadiva; su periodicidad será una vez al año. - Revisión de las PQRS recibidas (periodicidad trimestral) - Aviso en las carteleras de las sedes en donde se indique que todos los trámites y servicios de la DNDA son gratuitos, así como en las redes sociales de la DNDA. En caso de encontrar que el servidor o contratista está recibiendo dadivas, se realizaran las sanciones estipuladas para tal fin. </t>
  </si>
  <si>
    <t xml:space="preserve"> En caso de encontrar que el servidor o contratista está recibiendo dadivas, se realizaran las sanciones estipuladas para tal fin. </t>
  </si>
  <si>
    <t>Grupo Interno de Trabajo UCSTI.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</si>
</sst>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x14ac:knownFonts="1">
    <font>
      <sz val="11"/>
      <color theme="1"/>
      <name val="Calibri"/>
      <family val="2"/>
      <scheme val="minor"/>
    </font>
    <font>
      <sz val="11"/>
      <color theme="1"/>
      <name val="Calibri"/>
      <family val="2"/>
      <scheme val="minor"/>
    </font>
    <font>
      <b/>
      <sz val="22"/>
      <color theme="1"/>
      <name val="Arial Narrow"/>
      <family val="2"/>
    </font>
    <font>
      <sz val="11"/>
      <color theme="1"/>
      <name val="Arial Narrow"/>
      <family val="2"/>
    </font>
    <font>
      <b/>
      <sz val="18"/>
      <color theme="1"/>
      <name val="Arial Narrow"/>
      <family val="2"/>
    </font>
    <font>
      <sz val="14"/>
      <color theme="1"/>
      <name val="Arial Narrow"/>
      <family val="2"/>
    </font>
    <font>
      <sz val="14"/>
      <color theme="7"/>
      <name val="Arial Narrow"/>
      <family val="2"/>
    </font>
    <font>
      <b/>
      <sz val="11"/>
      <color theme="1"/>
      <name val="Arial Narrow"/>
      <family val="2"/>
    </font>
    <font>
      <b/>
      <sz val="14"/>
      <color theme="1"/>
      <name val="Arial Narrow"/>
      <family val="2"/>
    </font>
    <font>
      <sz val="11"/>
      <name val="Arial Narrow"/>
      <family val="2"/>
    </font>
    <font>
      <sz val="10"/>
      <color theme="1"/>
      <name val="Arial Narrow"/>
      <family val="2"/>
    </font>
    <font>
      <sz val="11"/>
      <color rgb="FFFF0000"/>
      <name val="Arial Narrow"/>
      <family val="2"/>
    </font>
    <font>
      <b/>
      <sz val="11"/>
      <color theme="9" tint="-0.249977111117893"/>
      <name val="Arial Narrow"/>
      <family val="2"/>
    </font>
    <font>
      <sz val="10"/>
      <name val="Arial Narrow"/>
      <family val="2"/>
    </font>
    <font>
      <b/>
      <sz val="10"/>
      <color theme="1"/>
      <name val="Arial Narrow"/>
      <family val="2"/>
    </font>
  </fonts>
  <fills count="5">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0000"/>
        <bgColor indexed="64"/>
      </patternFill>
    </fill>
  </fills>
  <borders count="15">
    <border>
      <left/>
      <right/>
      <top/>
      <bottom/>
      <diagonal/>
    </border>
    <border>
      <left style="dashed">
        <color theme="9" tint="-0.24994659260841701"/>
      </left>
      <right/>
      <top style="dashed">
        <color theme="9" tint="-0.24994659260841701"/>
      </top>
      <bottom/>
      <diagonal/>
    </border>
    <border>
      <left/>
      <right/>
      <top style="dashed">
        <color theme="9" tint="-0.24994659260841701"/>
      </top>
      <bottom/>
      <diagonal/>
    </border>
    <border>
      <left/>
      <right style="dashed">
        <color theme="9" tint="-0.24994659260841701"/>
      </right>
      <top style="dashed">
        <color theme="9" tint="-0.24994659260841701"/>
      </top>
      <bottom/>
      <diagonal/>
    </border>
    <border>
      <left style="dashed">
        <color theme="9" tint="-0.24994659260841701"/>
      </left>
      <right/>
      <top/>
      <bottom style="dashed">
        <color theme="9" tint="-0.24994659260841701"/>
      </bottom>
      <diagonal/>
    </border>
    <border>
      <left/>
      <right/>
      <top/>
      <bottom style="dashed">
        <color theme="9" tint="-0.24994659260841701"/>
      </bottom>
      <diagonal/>
    </border>
    <border>
      <left/>
      <right style="dashed">
        <color theme="9" tint="-0.24994659260841701"/>
      </right>
      <top/>
      <bottom style="dashed">
        <color theme="9" tint="-0.24994659260841701"/>
      </bottom>
      <diagonal/>
    </border>
    <border>
      <left style="dashed">
        <color theme="9" tint="-0.24994659260841701"/>
      </left>
      <right/>
      <top style="dashed">
        <color theme="9" tint="-0.24994659260841701"/>
      </top>
      <bottom style="dashed">
        <color theme="9" tint="-0.24994659260841701"/>
      </bottom>
      <diagonal/>
    </border>
    <border>
      <left/>
      <right style="dashed">
        <color theme="9" tint="-0.24994659260841701"/>
      </right>
      <top style="dashed">
        <color theme="9" tint="-0.24994659260841701"/>
      </top>
      <bottom style="dashed">
        <color theme="9" tint="-0.24994659260841701"/>
      </bottom>
      <diagonal/>
    </border>
    <border>
      <left/>
      <right/>
      <top style="dashed">
        <color theme="9" tint="-0.24994659260841701"/>
      </top>
      <bottom style="dashed">
        <color theme="9" tint="-0.24994659260841701"/>
      </bottom>
      <diagonal/>
    </border>
    <border>
      <left style="dashed">
        <color theme="9" tint="-0.24994659260841701"/>
      </left>
      <right style="dashed">
        <color theme="9" tint="-0.24994659260841701"/>
      </right>
      <top style="dashed">
        <color theme="9" tint="-0.24994659260841701"/>
      </top>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dashed">
        <color theme="9" tint="-0.24994659260841701"/>
      </left>
      <right style="dashed">
        <color theme="9" tint="-0.24994659260841701"/>
      </right>
      <top/>
      <bottom style="dashed">
        <color theme="9" tint="-0.24994659260841701"/>
      </bottom>
      <diagonal/>
    </border>
    <border>
      <left style="dashed">
        <color theme="9" tint="-0.24994659260841701"/>
      </left>
      <right style="dashed">
        <color theme="9" tint="-0.24994659260841701"/>
      </right>
      <top/>
      <bottom/>
      <diagonal/>
    </border>
    <border>
      <left style="dashed">
        <color theme="9" tint="-0.24994659260841701"/>
      </left>
      <right/>
      <top/>
      <bottom/>
      <diagonal/>
    </border>
  </borders>
  <cellStyleXfs count="2">
    <xf numFmtId="0" fontId="0" fillId="0" borderId="0"/>
    <xf numFmtId="9" fontId="1" fillId="0" borderId="0" applyFont="0" applyFill="0" applyBorder="0" applyAlignment="0" applyProtection="0"/>
  </cellStyleXfs>
  <cellXfs count="198">
    <xf numFmtId="0" fontId="0" fillId="0" borderId="0" xfId="0"/>
    <xf numFmtId="0" fontId="3" fillId="3" borderId="0" xfId="0" applyFont="1" applyFill="1"/>
    <xf numFmtId="0" fontId="3" fillId="0" borderId="0" xfId="0" applyFont="1"/>
    <xf numFmtId="0" fontId="3" fillId="3" borderId="0" xfId="0" applyFont="1" applyFill="1" applyAlignment="1">
      <alignment horizontal="center" vertical="center"/>
    </xf>
    <xf numFmtId="0" fontId="3" fillId="3" borderId="0" xfId="0" applyFont="1" applyFill="1" applyAlignment="1">
      <alignment horizontal="left" vertical="center"/>
    </xf>
    <xf numFmtId="0" fontId="3" fillId="3" borderId="0" xfId="0" applyFont="1" applyFill="1" applyAlignment="1">
      <alignment horizontal="center"/>
    </xf>
    <xf numFmtId="0" fontId="7" fillId="2" borderId="11" xfId="0" applyFont="1" applyFill="1" applyBorder="1" applyAlignment="1">
      <alignment horizontal="center" vertical="center" textRotation="90"/>
    </xf>
    <xf numFmtId="0" fontId="7" fillId="3" borderId="0" xfId="0" applyFont="1" applyFill="1" applyAlignment="1">
      <alignment horizontal="center" vertical="center"/>
    </xf>
    <xf numFmtId="0" fontId="7" fillId="2" borderId="0" xfId="0" applyFont="1" applyFill="1" applyAlignment="1">
      <alignment horizontal="center" vertical="center"/>
    </xf>
    <xf numFmtId="0" fontId="3" fillId="0" borderId="10" xfId="0" applyFont="1" applyBorder="1" applyAlignment="1" applyProtection="1">
      <alignment horizontal="center" vertical="center" wrapText="1"/>
      <protection locked="0"/>
    </xf>
    <xf numFmtId="0" fontId="9" fillId="0" borderId="10" xfId="0" applyFont="1" applyBorder="1" applyAlignment="1" applyProtection="1">
      <alignment horizontal="center" vertical="center" wrapText="1"/>
      <protection locked="0"/>
    </xf>
    <xf numFmtId="0" fontId="3" fillId="0" borderId="10" xfId="0" applyFont="1" applyBorder="1" applyAlignment="1" applyProtection="1">
      <alignment horizontal="center" vertical="center"/>
      <protection locked="0"/>
    </xf>
    <xf numFmtId="0" fontId="7" fillId="0" borderId="10" xfId="0" applyFont="1" applyBorder="1" applyAlignment="1" applyProtection="1">
      <alignment horizontal="center" vertical="center" wrapText="1"/>
      <protection hidden="1"/>
    </xf>
    <xf numFmtId="9" fontId="3" fillId="0" borderId="10" xfId="0" applyNumberFormat="1" applyFont="1" applyBorder="1" applyAlignment="1" applyProtection="1">
      <alignment horizontal="center" vertical="center" wrapText="1"/>
      <protection hidden="1"/>
    </xf>
    <xf numFmtId="9" fontId="3" fillId="0" borderId="10" xfId="0" applyNumberFormat="1" applyFont="1" applyBorder="1" applyAlignment="1" applyProtection="1">
      <alignment horizontal="center" vertical="center" wrapText="1"/>
      <protection locked="0"/>
    </xf>
    <xf numFmtId="0" fontId="7" fillId="0" borderId="10" xfId="0" applyFont="1" applyBorder="1" applyAlignment="1" applyProtection="1">
      <alignment horizontal="center" vertical="center"/>
      <protection hidden="1"/>
    </xf>
    <xf numFmtId="0" fontId="3" fillId="0" borderId="11" xfId="0" applyFont="1" applyBorder="1" applyAlignment="1">
      <alignment horizontal="center" vertical="center"/>
    </xf>
    <xf numFmtId="0" fontId="10" fillId="0" borderId="11" xfId="0" applyFont="1" applyBorder="1" applyAlignment="1" applyProtection="1">
      <alignment horizontal="justify" vertical="center" wrapText="1"/>
      <protection locked="0"/>
    </xf>
    <xf numFmtId="0" fontId="3" fillId="0" borderId="11" xfId="0" applyFont="1" applyBorder="1" applyAlignment="1" applyProtection="1">
      <alignment horizontal="center" vertical="center"/>
      <protection hidden="1"/>
    </xf>
    <xf numFmtId="0" fontId="3" fillId="0" borderId="11" xfId="0" applyFont="1" applyBorder="1" applyAlignment="1" applyProtection="1">
      <alignment horizontal="center" vertical="center" textRotation="90"/>
      <protection locked="0"/>
    </xf>
    <xf numFmtId="9" fontId="3" fillId="0" borderId="11" xfId="0" applyNumberFormat="1" applyFont="1" applyBorder="1" applyAlignment="1" applyProtection="1">
      <alignment horizontal="center" vertical="center"/>
      <protection hidden="1"/>
    </xf>
    <xf numFmtId="164" fontId="3" fillId="0" borderId="11" xfId="1" applyNumberFormat="1" applyFont="1" applyBorder="1" applyAlignment="1">
      <alignment horizontal="center" vertical="center"/>
    </xf>
    <xf numFmtId="0" fontId="7" fillId="0" borderId="11" xfId="0" applyFont="1" applyBorder="1" applyAlignment="1" applyProtection="1">
      <alignment horizontal="center" vertical="center" textRotation="90" wrapText="1"/>
      <protection hidden="1"/>
    </xf>
    <xf numFmtId="9" fontId="3" fillId="0" borderId="10" xfId="0" applyNumberFormat="1" applyFont="1" applyBorder="1" applyAlignment="1" applyProtection="1">
      <alignment horizontal="center" vertical="center"/>
      <protection hidden="1"/>
    </xf>
    <xf numFmtId="0" fontId="7" fillId="0" borderId="11" xfId="0" applyFont="1" applyBorder="1" applyAlignment="1" applyProtection="1">
      <alignment horizontal="center" vertical="center" textRotation="90"/>
      <protection hidden="1"/>
    </xf>
    <xf numFmtId="0" fontId="3" fillId="0" borderId="10" xfId="0" applyFont="1" applyBorder="1" applyAlignment="1" applyProtection="1">
      <alignment horizontal="center" vertical="top" textRotation="90"/>
      <protection locked="0"/>
    </xf>
    <xf numFmtId="0" fontId="3" fillId="0" borderId="11" xfId="0" applyFont="1" applyBorder="1" applyAlignment="1" applyProtection="1">
      <alignment horizontal="center" vertical="center" wrapText="1"/>
      <protection locked="0"/>
    </xf>
    <xf numFmtId="14" fontId="3" fillId="0" borderId="11" xfId="0" applyNumberFormat="1" applyFont="1" applyBorder="1" applyAlignment="1" applyProtection="1">
      <alignment horizontal="center" vertical="center"/>
      <protection locked="0"/>
    </xf>
    <xf numFmtId="9" fontId="3" fillId="0" borderId="11" xfId="1" applyFont="1" applyBorder="1" applyAlignment="1" applyProtection="1">
      <alignment horizontal="center" vertical="top"/>
      <protection locked="0"/>
    </xf>
    <xf numFmtId="0" fontId="3" fillId="0" borderId="11" xfId="0" applyFont="1" applyBorder="1" applyAlignment="1" applyProtection="1">
      <alignment horizontal="center" vertical="top" wrapText="1"/>
      <protection locked="0"/>
    </xf>
    <xf numFmtId="0" fontId="3" fillId="0" borderId="11" xfId="0" applyFont="1" applyBorder="1" applyAlignment="1" applyProtection="1">
      <alignment horizontal="center" vertical="center"/>
      <protection locked="0"/>
    </xf>
    <xf numFmtId="0" fontId="3" fillId="3" borderId="0" xfId="0" applyFont="1" applyFill="1" applyAlignment="1">
      <alignment vertical="center"/>
    </xf>
    <xf numFmtId="0" fontId="3" fillId="0" borderId="0" xfId="0" applyFont="1" applyAlignment="1">
      <alignment vertical="center"/>
    </xf>
    <xf numFmtId="0" fontId="3" fillId="0" borderId="10" xfId="0" applyFont="1" applyBorder="1" applyAlignment="1" applyProtection="1">
      <alignment horizontal="center" vertical="center" textRotation="90"/>
      <protection locked="0"/>
    </xf>
    <xf numFmtId="0" fontId="3" fillId="0" borderId="11" xfId="0" applyFont="1" applyBorder="1" applyAlignment="1" applyProtection="1">
      <alignment horizontal="justify" vertical="center"/>
      <protection locked="0"/>
    </xf>
    <xf numFmtId="0" fontId="3" fillId="0" borderId="11" xfId="0" applyFont="1" applyBorder="1" applyAlignment="1" applyProtection="1">
      <alignment horizontal="center" vertical="top"/>
      <protection hidden="1"/>
    </xf>
    <xf numFmtId="0" fontId="3" fillId="0" borderId="11" xfId="0" applyFont="1" applyBorder="1" applyAlignment="1" applyProtection="1">
      <alignment horizontal="center" vertical="top" textRotation="90"/>
      <protection locked="0"/>
    </xf>
    <xf numFmtId="9" fontId="3" fillId="0" borderId="11" xfId="0" applyNumberFormat="1" applyFont="1" applyBorder="1" applyAlignment="1" applyProtection="1">
      <alignment horizontal="center" vertical="top"/>
      <protection hidden="1"/>
    </xf>
    <xf numFmtId="164" fontId="3" fillId="0" borderId="11" xfId="1" applyNumberFormat="1" applyFont="1" applyBorder="1" applyAlignment="1">
      <alignment horizontal="center" vertical="top"/>
    </xf>
    <xf numFmtId="0" fontId="7" fillId="0" borderId="11" xfId="0" applyFont="1" applyBorder="1" applyAlignment="1" applyProtection="1">
      <alignment horizontal="center" vertical="top" textRotation="90" wrapText="1"/>
      <protection hidden="1"/>
    </xf>
    <xf numFmtId="9" fontId="3" fillId="0" borderId="10" xfId="0" applyNumberFormat="1" applyFont="1" applyBorder="1" applyAlignment="1" applyProtection="1">
      <alignment horizontal="center" vertical="top"/>
      <protection hidden="1"/>
    </xf>
    <xf numFmtId="0" fontId="7" fillId="0" borderId="11" xfId="0" applyFont="1" applyBorder="1" applyAlignment="1" applyProtection="1">
      <alignment horizontal="center" vertical="top" textRotation="90"/>
      <protection hidden="1"/>
    </xf>
    <xf numFmtId="0" fontId="3" fillId="0" borderId="11" xfId="0" applyFont="1" applyBorder="1" applyAlignment="1" applyProtection="1">
      <alignment horizontal="center" vertical="top"/>
      <protection locked="0"/>
    </xf>
    <xf numFmtId="14" fontId="3" fillId="0" borderId="11" xfId="0" applyNumberFormat="1" applyFont="1" applyBorder="1" applyAlignment="1" applyProtection="1">
      <alignment horizontal="center" vertical="top"/>
      <protection locked="0"/>
    </xf>
    <xf numFmtId="0" fontId="9" fillId="3" borderId="10" xfId="0" applyFont="1" applyFill="1" applyBorder="1" applyAlignment="1" applyProtection="1">
      <alignment horizontal="center" vertical="center" wrapText="1"/>
      <protection locked="0"/>
    </xf>
    <xf numFmtId="9" fontId="3" fillId="0" borderId="10" xfId="0" applyNumberFormat="1" applyFont="1" applyBorder="1" applyAlignment="1" applyProtection="1">
      <alignment horizontal="center" vertical="top" wrapText="1"/>
      <protection hidden="1"/>
    </xf>
    <xf numFmtId="0" fontId="3" fillId="0" borderId="11" xfId="0" applyFont="1" applyBorder="1" applyAlignment="1">
      <alignment horizontal="center" vertical="top"/>
    </xf>
    <xf numFmtId="0" fontId="3" fillId="0" borderId="10" xfId="0" applyFont="1" applyBorder="1" applyAlignment="1" applyProtection="1">
      <alignment vertical="center" wrapText="1"/>
      <protection locked="0"/>
    </xf>
    <xf numFmtId="14" fontId="3" fillId="0" borderId="10" xfId="0" applyNumberFormat="1" applyFont="1" applyBorder="1" applyAlignment="1" applyProtection="1">
      <alignment vertical="center"/>
      <protection locked="0"/>
    </xf>
    <xf numFmtId="0" fontId="3" fillId="0" borderId="10" xfId="0" applyFont="1" applyBorder="1" applyAlignment="1" applyProtection="1">
      <alignment vertical="top" wrapText="1"/>
      <protection locked="0"/>
    </xf>
    <xf numFmtId="0" fontId="3" fillId="0" borderId="10" xfId="0" applyFont="1" applyBorder="1" applyAlignment="1" applyProtection="1">
      <alignment vertical="center"/>
      <protection locked="0"/>
    </xf>
    <xf numFmtId="0" fontId="3" fillId="0" borderId="13" xfId="0" applyFont="1" applyBorder="1" applyAlignment="1" applyProtection="1">
      <alignment vertical="center" wrapText="1"/>
      <protection locked="0"/>
    </xf>
    <xf numFmtId="14" fontId="3" fillId="0" borderId="13" xfId="0" applyNumberFormat="1" applyFont="1" applyBorder="1" applyAlignment="1" applyProtection="1">
      <alignment vertical="center"/>
      <protection locked="0"/>
    </xf>
    <xf numFmtId="0" fontId="3" fillId="0" borderId="13" xfId="0" applyFont="1" applyBorder="1" applyAlignment="1" applyProtection="1">
      <alignment vertical="top" wrapText="1"/>
      <protection locked="0"/>
    </xf>
    <xf numFmtId="0" fontId="3" fillId="0" borderId="13" xfId="0" applyFont="1" applyBorder="1" applyAlignment="1" applyProtection="1">
      <alignment vertical="center"/>
      <protection locked="0"/>
    </xf>
    <xf numFmtId="0" fontId="10" fillId="0" borderId="11" xfId="0" applyFont="1" applyBorder="1" applyAlignment="1" applyProtection="1">
      <alignment horizontal="justify" vertical="top" wrapText="1"/>
      <protection locked="0"/>
    </xf>
    <xf numFmtId="14" fontId="3" fillId="0" borderId="11" xfId="0" applyNumberFormat="1" applyFont="1" applyBorder="1" applyAlignment="1" applyProtection="1">
      <alignment horizontal="center" vertical="center" wrapText="1"/>
      <protection locked="0"/>
    </xf>
    <xf numFmtId="164" fontId="3" fillId="4" borderId="11" xfId="1" applyNumberFormat="1" applyFont="1" applyFill="1" applyBorder="1" applyAlignment="1">
      <alignment horizontal="center" vertical="top"/>
    </xf>
    <xf numFmtId="0" fontId="3" fillId="0" borderId="11" xfId="0" applyFont="1" applyBorder="1" applyAlignment="1" applyProtection="1">
      <alignment horizontal="justify" vertical="top"/>
      <protection locked="0"/>
    </xf>
    <xf numFmtId="0" fontId="3" fillId="0" borderId="10" xfId="0" applyFont="1" applyBorder="1" applyAlignment="1" applyProtection="1">
      <alignment horizontal="center" vertical="top" wrapText="1"/>
      <protection locked="0"/>
    </xf>
    <xf numFmtId="0" fontId="3" fillId="0" borderId="7" xfId="0" applyFont="1" applyBorder="1" applyAlignment="1">
      <alignment horizontal="left" vertical="center" wrapText="1"/>
    </xf>
    <xf numFmtId="0" fontId="3" fillId="0" borderId="9" xfId="0" applyFont="1" applyBorder="1" applyAlignment="1">
      <alignment horizontal="left" vertical="center" wrapText="1"/>
    </xf>
    <xf numFmtId="0" fontId="3" fillId="0" borderId="8" xfId="0" applyFont="1" applyBorder="1" applyAlignment="1">
      <alignment horizontal="left" vertical="center" wrapText="1"/>
    </xf>
    <xf numFmtId="0" fontId="3" fillId="0" borderId="0" xfId="0" applyFont="1" applyAlignment="1">
      <alignment horizontal="center" vertical="center"/>
    </xf>
    <xf numFmtId="0" fontId="3" fillId="0" borderId="0" xfId="0" applyFont="1" applyAlignment="1">
      <alignment horizontal="center"/>
    </xf>
    <xf numFmtId="9" fontId="3" fillId="0" borderId="10" xfId="0" applyNumberFormat="1" applyFont="1" applyBorder="1" applyAlignment="1" applyProtection="1">
      <alignment horizontal="center" vertical="top" wrapText="1"/>
      <protection locked="0"/>
    </xf>
    <xf numFmtId="0" fontId="7" fillId="0" borderId="10" xfId="0" applyFont="1" applyBorder="1" applyAlignment="1" applyProtection="1">
      <alignment horizontal="center" vertical="top" wrapText="1"/>
      <protection hidden="1"/>
    </xf>
    <xf numFmtId="0" fontId="7" fillId="0" borderId="10" xfId="0" applyFont="1" applyBorder="1" applyAlignment="1" applyProtection="1">
      <alignment horizontal="center" vertical="top"/>
      <protection hidden="1"/>
    </xf>
    <xf numFmtId="0" fontId="9" fillId="0" borderId="10" xfId="0" applyFont="1" applyBorder="1" applyAlignment="1" applyProtection="1">
      <alignment horizontal="center" vertical="top" wrapText="1"/>
      <protection locked="0"/>
    </xf>
    <xf numFmtId="0" fontId="3" fillId="0" borderId="10" xfId="0" applyFont="1" applyBorder="1" applyAlignment="1" applyProtection="1">
      <alignment horizontal="center" vertical="top"/>
      <protection locked="0"/>
    </xf>
    <xf numFmtId="9" fontId="3" fillId="0" borderId="11" xfId="0" applyNumberFormat="1" applyFont="1" applyBorder="1" applyAlignment="1" applyProtection="1">
      <alignment horizontal="center" vertical="center"/>
      <protection locked="0"/>
    </xf>
    <xf numFmtId="14" fontId="3" fillId="0" borderId="10" xfId="0" applyNumberFormat="1" applyFont="1" applyBorder="1" applyAlignment="1" applyProtection="1">
      <alignment horizontal="center" vertical="center"/>
      <protection locked="0"/>
    </xf>
    <xf numFmtId="0" fontId="3" fillId="0" borderId="0" xfId="0" applyFont="1" applyAlignment="1">
      <alignment vertical="center" wrapText="1"/>
    </xf>
    <xf numFmtId="9" fontId="3" fillId="0" borderId="11" xfId="1" applyFont="1" applyBorder="1" applyAlignment="1" applyProtection="1">
      <alignment horizontal="center" vertical="top"/>
    </xf>
    <xf numFmtId="0" fontId="3" fillId="3" borderId="11" xfId="0" applyFont="1" applyFill="1" applyBorder="1" applyAlignment="1" applyProtection="1">
      <alignment horizontal="center" vertical="top" wrapText="1"/>
      <protection locked="0"/>
    </xf>
    <xf numFmtId="0" fontId="3" fillId="3" borderId="11" xfId="0" applyFont="1" applyFill="1" applyBorder="1" applyAlignment="1" applyProtection="1">
      <alignment horizontal="center" vertical="top"/>
      <protection locked="0"/>
    </xf>
    <xf numFmtId="14" fontId="3" fillId="3" borderId="11" xfId="0" applyNumberFormat="1" applyFont="1" applyFill="1" applyBorder="1" applyAlignment="1" applyProtection="1">
      <alignment horizontal="center" vertical="top"/>
      <protection locked="0"/>
    </xf>
    <xf numFmtId="0" fontId="3" fillId="3" borderId="10" xfId="0" applyFont="1" applyFill="1" applyBorder="1" applyAlignment="1" applyProtection="1">
      <alignment horizontal="center" vertical="top"/>
      <protection locked="0"/>
    </xf>
    <xf numFmtId="9" fontId="3" fillId="0" borderId="11" xfId="1" quotePrefix="1" applyFont="1" applyBorder="1" applyAlignment="1" applyProtection="1">
      <alignment horizontal="center" vertical="top"/>
      <protection locked="0"/>
    </xf>
    <xf numFmtId="0" fontId="3" fillId="0" borderId="10" xfId="0" applyFont="1" applyBorder="1" applyAlignment="1" applyProtection="1">
      <alignment vertical="top"/>
      <protection locked="0"/>
    </xf>
    <xf numFmtId="0" fontId="3" fillId="0" borderId="11" xfId="0" applyFont="1" applyBorder="1" applyAlignment="1" applyProtection="1">
      <alignment horizontal="justify" vertical="center" wrapText="1"/>
      <protection locked="0"/>
    </xf>
    <xf numFmtId="0" fontId="10" fillId="0" borderId="10" xfId="0" applyFont="1" applyBorder="1" applyAlignment="1" applyProtection="1">
      <alignment horizontal="center" vertical="center" wrapText="1"/>
      <protection locked="0"/>
    </xf>
    <xf numFmtId="0" fontId="13" fillId="0" borderId="10" xfId="0" applyFont="1" applyBorder="1" applyAlignment="1" applyProtection="1">
      <alignment horizontal="center" vertical="center" wrapText="1"/>
      <protection locked="0"/>
    </xf>
    <xf numFmtId="9" fontId="10" fillId="0" borderId="10" xfId="0" applyNumberFormat="1" applyFont="1" applyBorder="1" applyAlignment="1" applyProtection="1">
      <alignment horizontal="center" vertical="center" wrapText="1"/>
      <protection locked="0"/>
    </xf>
    <xf numFmtId="9" fontId="10" fillId="0" borderId="10" xfId="0" applyNumberFormat="1" applyFont="1" applyBorder="1" applyAlignment="1" applyProtection="1">
      <alignment horizontal="center" vertical="center" wrapText="1"/>
      <protection hidden="1"/>
    </xf>
    <xf numFmtId="0" fontId="13" fillId="0" borderId="11" xfId="0" applyFont="1" applyBorder="1" applyAlignment="1" applyProtection="1">
      <alignment horizontal="justify" vertical="center" wrapText="1"/>
      <protection locked="0"/>
    </xf>
    <xf numFmtId="0" fontId="10" fillId="0" borderId="11" xfId="0" applyFont="1" applyBorder="1" applyAlignment="1" applyProtection="1">
      <alignment horizontal="center" vertical="center"/>
      <protection hidden="1"/>
    </xf>
    <xf numFmtId="0" fontId="10" fillId="0" borderId="11" xfId="0" applyFont="1" applyBorder="1" applyAlignment="1" applyProtection="1">
      <alignment horizontal="center" vertical="center" textRotation="90"/>
      <protection locked="0"/>
    </xf>
    <xf numFmtId="9" fontId="10" fillId="0" borderId="11" xfId="0" applyNumberFormat="1" applyFont="1" applyBorder="1" applyAlignment="1" applyProtection="1">
      <alignment horizontal="center" vertical="center"/>
      <protection hidden="1"/>
    </xf>
    <xf numFmtId="9" fontId="10" fillId="0" borderId="10" xfId="0" applyNumberFormat="1" applyFont="1" applyBorder="1" applyAlignment="1" applyProtection="1">
      <alignment horizontal="center" vertical="center"/>
      <protection hidden="1"/>
    </xf>
    <xf numFmtId="0" fontId="10" fillId="0" borderId="10" xfId="0" applyFont="1" applyBorder="1" applyAlignment="1" applyProtection="1">
      <alignment horizontal="center" vertical="top" textRotation="90"/>
      <protection locked="0"/>
    </xf>
    <xf numFmtId="0" fontId="13" fillId="0" borderId="11" xfId="0" applyFont="1" applyBorder="1" applyAlignment="1" applyProtection="1">
      <alignment horizontal="center" vertical="center" wrapText="1"/>
      <protection locked="0"/>
    </xf>
    <xf numFmtId="14" fontId="10" fillId="0" borderId="11" xfId="0" applyNumberFormat="1" applyFont="1" applyBorder="1" applyAlignment="1" applyProtection="1">
      <alignment horizontal="center" vertical="center"/>
      <protection locked="0"/>
    </xf>
    <xf numFmtId="0" fontId="10" fillId="0" borderId="11" xfId="0" applyFont="1" applyBorder="1" applyAlignment="1" applyProtection="1">
      <alignment horizontal="center" vertical="center"/>
      <protection locked="0"/>
    </xf>
    <xf numFmtId="0" fontId="13" fillId="3" borderId="10" xfId="0" applyFont="1" applyFill="1" applyBorder="1" applyAlignment="1" applyProtection="1">
      <alignment horizontal="center" vertical="center" wrapText="1"/>
      <protection locked="0"/>
    </xf>
    <xf numFmtId="0" fontId="13" fillId="0" borderId="11" xfId="0" applyFont="1" applyBorder="1" applyAlignment="1" applyProtection="1">
      <alignment horizontal="center" vertical="center" textRotation="90"/>
      <protection locked="0"/>
    </xf>
    <xf numFmtId="0" fontId="10" fillId="0" borderId="10" xfId="0" applyFont="1" applyBorder="1" applyAlignment="1" applyProtection="1">
      <alignment horizontal="center" vertical="center" textRotation="90"/>
      <protection locked="0"/>
    </xf>
    <xf numFmtId="14" fontId="10" fillId="0" borderId="10" xfId="0" applyNumberFormat="1" applyFont="1" applyBorder="1" applyAlignment="1" applyProtection="1">
      <alignment horizontal="center" vertical="center"/>
      <protection locked="0"/>
    </xf>
    <xf numFmtId="0" fontId="10" fillId="0" borderId="10" xfId="0" applyFont="1" applyBorder="1" applyAlignment="1" applyProtection="1">
      <alignment horizontal="center" vertical="center"/>
      <protection locked="0"/>
    </xf>
    <xf numFmtId="0" fontId="14" fillId="0" borderId="10" xfId="0" applyFont="1" applyBorder="1" applyAlignment="1" applyProtection="1">
      <alignment horizontal="center" vertical="center" wrapText="1"/>
      <protection hidden="1"/>
    </xf>
    <xf numFmtId="9" fontId="10" fillId="0" borderId="10" xfId="0" applyNumberFormat="1" applyFont="1" applyBorder="1" applyAlignment="1" applyProtection="1">
      <alignment horizontal="center" vertical="top" wrapText="1"/>
      <protection hidden="1"/>
    </xf>
    <xf numFmtId="0" fontId="14" fillId="0" borderId="10" xfId="0" applyFont="1" applyBorder="1" applyAlignment="1" applyProtection="1">
      <alignment horizontal="center" vertical="center"/>
      <protection hidden="1"/>
    </xf>
    <xf numFmtId="0" fontId="10" fillId="0" borderId="11" xfId="0" applyFont="1" applyBorder="1" applyAlignment="1">
      <alignment horizontal="center" vertical="top"/>
    </xf>
    <xf numFmtId="164" fontId="10" fillId="0" borderId="11" xfId="1" applyNumberFormat="1" applyFont="1" applyBorder="1" applyAlignment="1">
      <alignment horizontal="center" vertical="center"/>
    </xf>
    <xf numFmtId="0" fontId="14" fillId="0" borderId="11" xfId="0" applyFont="1" applyBorder="1" applyAlignment="1" applyProtection="1">
      <alignment horizontal="center" vertical="center" textRotation="90" wrapText="1"/>
      <protection hidden="1"/>
    </xf>
    <xf numFmtId="0" fontId="14" fillId="0" borderId="11" xfId="0" applyFont="1" applyBorder="1" applyAlignment="1" applyProtection="1">
      <alignment horizontal="center" vertical="center" textRotation="90"/>
      <protection hidden="1"/>
    </xf>
    <xf numFmtId="0" fontId="10" fillId="0" borderId="11" xfId="0" applyFont="1" applyBorder="1" applyAlignment="1" applyProtection="1">
      <alignment horizontal="center" vertical="center" wrapText="1"/>
      <protection locked="0"/>
    </xf>
    <xf numFmtId="14" fontId="10" fillId="0" borderId="11" xfId="0" applyNumberFormat="1" applyFont="1" applyBorder="1" applyAlignment="1" applyProtection="1">
      <alignment horizontal="center" vertical="center" wrapText="1"/>
      <protection locked="0"/>
    </xf>
    <xf numFmtId="0" fontId="10" fillId="0" borderId="11" xfId="0" applyFont="1" applyBorder="1" applyAlignment="1" applyProtection="1">
      <alignment horizontal="center" vertical="top" wrapText="1"/>
      <protection locked="0"/>
    </xf>
    <xf numFmtId="0" fontId="3" fillId="0" borderId="10" xfId="0" applyFont="1" applyBorder="1" applyAlignment="1">
      <alignment horizontal="center" vertical="center" textRotation="255" wrapText="1"/>
    </xf>
    <xf numFmtId="0" fontId="3" fillId="0" borderId="10" xfId="0" applyFont="1" applyBorder="1" applyAlignment="1">
      <alignment horizontal="center" vertical="center" textRotation="255" wrapText="1"/>
    </xf>
    <xf numFmtId="0" fontId="3" fillId="0" borderId="13" xfId="0" applyFont="1" applyBorder="1" applyAlignment="1">
      <alignment horizontal="center" vertical="center" textRotation="255" wrapText="1"/>
    </xf>
    <xf numFmtId="9" fontId="3" fillId="0" borderId="10" xfId="0" applyNumberFormat="1" applyFont="1" applyBorder="1" applyAlignment="1" applyProtection="1">
      <alignment horizontal="center" vertical="center" wrapText="1"/>
      <protection locked="0"/>
    </xf>
    <xf numFmtId="9" fontId="3" fillId="0" borderId="13" xfId="0" applyNumberFormat="1" applyFont="1" applyBorder="1" applyAlignment="1" applyProtection="1">
      <alignment horizontal="center" vertical="center" wrapText="1"/>
      <protection locked="0"/>
    </xf>
    <xf numFmtId="9" fontId="3" fillId="0" borderId="10" xfId="0" applyNumberFormat="1" applyFont="1" applyBorder="1" applyAlignment="1" applyProtection="1">
      <alignment horizontal="center" vertical="center" wrapText="1"/>
      <protection hidden="1"/>
    </xf>
    <xf numFmtId="9" fontId="3" fillId="0" borderId="13" xfId="0" applyNumberFormat="1" applyFont="1" applyBorder="1" applyAlignment="1" applyProtection="1">
      <alignment horizontal="center" vertical="center" wrapText="1"/>
      <protection hidden="1"/>
    </xf>
    <xf numFmtId="0" fontId="7" fillId="0" borderId="10" xfId="0" applyFont="1" applyBorder="1" applyAlignment="1" applyProtection="1">
      <alignment horizontal="center" vertical="center" wrapText="1"/>
      <protection hidden="1"/>
    </xf>
    <xf numFmtId="0" fontId="7" fillId="0" borderId="13" xfId="0" applyFont="1" applyBorder="1" applyAlignment="1" applyProtection="1">
      <alignment horizontal="center" vertical="center" wrapText="1"/>
      <protection hidden="1"/>
    </xf>
    <xf numFmtId="0" fontId="7" fillId="0" borderId="10" xfId="0" applyFont="1" applyBorder="1" applyAlignment="1" applyProtection="1">
      <alignment horizontal="center" vertical="center"/>
      <protection hidden="1"/>
    </xf>
    <xf numFmtId="0" fontId="7" fillId="0" borderId="13" xfId="0" applyFont="1" applyBorder="1" applyAlignment="1" applyProtection="1">
      <alignment horizontal="center" vertical="center"/>
      <protection hidden="1"/>
    </xf>
    <xf numFmtId="0" fontId="3" fillId="0" borderId="10" xfId="0" applyFont="1" applyBorder="1" applyAlignment="1">
      <alignment horizontal="center" vertical="center" textRotation="255"/>
    </xf>
    <xf numFmtId="0" fontId="3" fillId="0" borderId="13" xfId="0" applyFont="1" applyBorder="1" applyAlignment="1">
      <alignment horizontal="center" vertical="center" textRotation="255"/>
    </xf>
    <xf numFmtId="0" fontId="3" fillId="0" borderId="10" xfId="0" applyFont="1" applyBorder="1" applyAlignment="1" applyProtection="1">
      <alignment horizontal="center" vertical="center" wrapText="1"/>
      <protection locked="0"/>
    </xf>
    <xf numFmtId="0" fontId="3" fillId="0" borderId="13" xfId="0" applyFont="1" applyBorder="1" applyAlignment="1" applyProtection="1">
      <alignment horizontal="center" vertical="center" wrapText="1"/>
      <protection locked="0"/>
    </xf>
    <xf numFmtId="0" fontId="3" fillId="0" borderId="10" xfId="0"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12" xfId="0" applyFont="1" applyBorder="1" applyAlignment="1" applyProtection="1">
      <alignment horizontal="center" vertical="center" wrapText="1"/>
      <protection locked="0"/>
    </xf>
    <xf numFmtId="14" fontId="3" fillId="0" borderId="10" xfId="0" applyNumberFormat="1" applyFont="1" applyBorder="1" applyAlignment="1" applyProtection="1">
      <alignment horizontal="center" vertical="center"/>
      <protection locked="0"/>
    </xf>
    <xf numFmtId="14" fontId="3" fillId="0" borderId="13" xfId="0" applyNumberFormat="1" applyFont="1" applyBorder="1" applyAlignment="1" applyProtection="1">
      <alignment horizontal="center" vertical="center"/>
      <protection locked="0"/>
    </xf>
    <xf numFmtId="14" fontId="3" fillId="0" borderId="12" xfId="0" applyNumberFormat="1" applyFont="1" applyBorder="1" applyAlignment="1" applyProtection="1">
      <alignment horizontal="center" vertical="center"/>
      <protection locked="0"/>
    </xf>
    <xf numFmtId="0" fontId="3" fillId="0" borderId="10" xfId="0" applyFont="1" applyBorder="1" applyAlignment="1" applyProtection="1">
      <alignment horizontal="center" vertical="top" wrapText="1"/>
      <protection locked="0"/>
    </xf>
    <xf numFmtId="0" fontId="3" fillId="0" borderId="13" xfId="0" applyFont="1" applyBorder="1" applyAlignment="1" applyProtection="1">
      <alignment horizontal="center" vertical="top" wrapText="1"/>
      <protection locked="0"/>
    </xf>
    <xf numFmtId="0" fontId="3" fillId="0" borderId="12" xfId="0" applyFont="1" applyBorder="1" applyAlignment="1" applyProtection="1">
      <alignment horizontal="center" vertical="top" wrapText="1"/>
      <protection locked="0"/>
    </xf>
    <xf numFmtId="0" fontId="3" fillId="0" borderId="12" xfId="0" applyFont="1" applyBorder="1" applyAlignment="1" applyProtection="1">
      <alignment horizontal="center" vertical="center"/>
      <protection locked="0"/>
    </xf>
    <xf numFmtId="0" fontId="9" fillId="3" borderId="10" xfId="0" applyFont="1" applyFill="1" applyBorder="1" applyAlignment="1" applyProtection="1">
      <alignment horizontal="center" vertical="center" wrapText="1"/>
      <protection locked="0"/>
    </xf>
    <xf numFmtId="0" fontId="9" fillId="3" borderId="13" xfId="0" applyFont="1" applyFill="1" applyBorder="1" applyAlignment="1" applyProtection="1">
      <alignment horizontal="center" vertical="center" wrapText="1"/>
      <protection locked="0"/>
    </xf>
    <xf numFmtId="9" fontId="3" fillId="0" borderId="10" xfId="0" applyNumberFormat="1" applyFont="1" applyBorder="1" applyAlignment="1" applyProtection="1">
      <alignment horizontal="center" vertical="top" wrapText="1"/>
      <protection hidden="1"/>
    </xf>
    <xf numFmtId="9" fontId="3" fillId="0" borderId="13" xfId="0" applyNumberFormat="1" applyFont="1" applyBorder="1" applyAlignment="1" applyProtection="1">
      <alignment horizontal="center" vertical="top" wrapText="1"/>
      <protection hidden="1"/>
    </xf>
    <xf numFmtId="0" fontId="9" fillId="0" borderId="10" xfId="0" applyFont="1" applyBorder="1" applyAlignment="1" applyProtection="1">
      <alignment horizontal="center" vertical="center" wrapText="1"/>
      <protection locked="0"/>
    </xf>
    <xf numFmtId="0" fontId="9" fillId="0" borderId="13" xfId="0" applyFont="1" applyBorder="1" applyAlignment="1" applyProtection="1">
      <alignment horizontal="center" vertical="center" wrapText="1"/>
      <protection locked="0"/>
    </xf>
    <xf numFmtId="9" fontId="3" fillId="0" borderId="10" xfId="0" applyNumberFormat="1" applyFont="1" applyBorder="1" applyAlignment="1" applyProtection="1">
      <alignment horizontal="center" vertical="top" wrapText="1"/>
      <protection locked="0"/>
    </xf>
    <xf numFmtId="9" fontId="3" fillId="0" borderId="13" xfId="0" applyNumberFormat="1" applyFont="1" applyBorder="1" applyAlignment="1" applyProtection="1">
      <alignment horizontal="center" vertical="top" wrapText="1"/>
      <protection locked="0"/>
    </xf>
    <xf numFmtId="9" fontId="3" fillId="0" borderId="12" xfId="0" applyNumberFormat="1" applyFont="1" applyBorder="1" applyAlignment="1" applyProtection="1">
      <alignment horizontal="center" vertical="top" wrapText="1"/>
      <protection locked="0"/>
    </xf>
    <xf numFmtId="9" fontId="3" fillId="0" borderId="12" xfId="0" applyNumberFormat="1" applyFont="1" applyBorder="1" applyAlignment="1" applyProtection="1">
      <alignment horizontal="center" vertical="top" wrapText="1"/>
      <protection hidden="1"/>
    </xf>
    <xf numFmtId="0" fontId="7" fillId="0" borderId="10" xfId="0" applyFont="1" applyBorder="1" applyAlignment="1" applyProtection="1">
      <alignment horizontal="center" vertical="top" wrapText="1"/>
      <protection hidden="1"/>
    </xf>
    <xf numFmtId="0" fontId="7" fillId="0" borderId="13" xfId="0" applyFont="1" applyBorder="1" applyAlignment="1" applyProtection="1">
      <alignment horizontal="center" vertical="top" wrapText="1"/>
      <protection hidden="1"/>
    </xf>
    <xf numFmtId="0" fontId="7" fillId="0" borderId="12" xfId="0" applyFont="1" applyBorder="1" applyAlignment="1" applyProtection="1">
      <alignment horizontal="center" vertical="top" wrapText="1"/>
      <protection hidden="1"/>
    </xf>
    <xf numFmtId="0" fontId="7" fillId="0" borderId="10" xfId="0" applyFont="1" applyBorder="1" applyAlignment="1" applyProtection="1">
      <alignment horizontal="center" vertical="top"/>
      <protection hidden="1"/>
    </xf>
    <xf numFmtId="0" fontId="7" fillId="0" borderId="13" xfId="0" applyFont="1" applyBorder="1" applyAlignment="1" applyProtection="1">
      <alignment horizontal="center" vertical="top"/>
      <protection hidden="1"/>
    </xf>
    <xf numFmtId="0" fontId="7" fillId="0" borderId="12" xfId="0" applyFont="1" applyBorder="1" applyAlignment="1" applyProtection="1">
      <alignment horizontal="center" vertical="top"/>
      <protection hidden="1"/>
    </xf>
    <xf numFmtId="0" fontId="9" fillId="0" borderId="10" xfId="0" applyFont="1" applyBorder="1" applyAlignment="1" applyProtection="1">
      <alignment horizontal="center" vertical="top" wrapText="1"/>
      <protection locked="0"/>
    </xf>
    <xf numFmtId="0" fontId="9" fillId="0" borderId="13" xfId="0" applyFont="1" applyBorder="1" applyAlignment="1" applyProtection="1">
      <alignment horizontal="center" vertical="top" wrapText="1"/>
      <protection locked="0"/>
    </xf>
    <xf numFmtId="0" fontId="9" fillId="0" borderId="12" xfId="0" applyFont="1" applyBorder="1" applyAlignment="1" applyProtection="1">
      <alignment horizontal="center" vertical="top" wrapText="1"/>
      <protection locked="0"/>
    </xf>
    <xf numFmtId="0" fontId="3" fillId="0" borderId="10" xfId="0" applyFont="1" applyBorder="1" applyAlignment="1" applyProtection="1">
      <alignment horizontal="center" vertical="top"/>
      <protection locked="0"/>
    </xf>
    <xf numFmtId="0" fontId="3" fillId="0" borderId="13" xfId="0" applyFont="1" applyBorder="1" applyAlignment="1" applyProtection="1">
      <alignment horizontal="center" vertical="top"/>
      <protection locked="0"/>
    </xf>
    <xf numFmtId="0" fontId="3" fillId="0" borderId="12" xfId="0" applyFont="1" applyBorder="1" applyAlignment="1" applyProtection="1">
      <alignment horizontal="center" vertical="top"/>
      <protection locked="0"/>
    </xf>
    <xf numFmtId="0" fontId="11" fillId="0" borderId="10" xfId="0" applyFont="1" applyBorder="1" applyAlignment="1" applyProtection="1">
      <alignment horizontal="center" vertical="top" wrapText="1"/>
      <protection locked="0"/>
    </xf>
    <xf numFmtId="9" fontId="3" fillId="0" borderId="12" xfId="0" applyNumberFormat="1" applyFont="1" applyBorder="1" applyAlignment="1" applyProtection="1">
      <alignment horizontal="center" vertical="center" wrapText="1"/>
      <protection locked="0"/>
    </xf>
    <xf numFmtId="0" fontId="7" fillId="0" borderId="12" xfId="0" applyFont="1" applyBorder="1" applyAlignment="1" applyProtection="1">
      <alignment horizontal="center" vertical="center" wrapText="1"/>
      <protection hidden="1"/>
    </xf>
    <xf numFmtId="9" fontId="3" fillId="0" borderId="12" xfId="0" applyNumberFormat="1" applyFont="1" applyBorder="1" applyAlignment="1" applyProtection="1">
      <alignment horizontal="center" vertical="center" wrapText="1"/>
      <protection hidden="1"/>
    </xf>
    <xf numFmtId="0" fontId="7" fillId="0" borderId="12" xfId="0" applyFont="1" applyBorder="1" applyAlignment="1" applyProtection="1">
      <alignment horizontal="center" vertical="center"/>
      <protection hidden="1"/>
    </xf>
    <xf numFmtId="0" fontId="9" fillId="0" borderId="12" xfId="0" applyFont="1" applyBorder="1" applyAlignment="1" applyProtection="1">
      <alignment horizontal="center" vertical="center" wrapText="1"/>
      <protection locked="0"/>
    </xf>
    <xf numFmtId="0" fontId="4" fillId="2" borderId="7" xfId="0" applyFont="1" applyFill="1" applyBorder="1" applyAlignment="1">
      <alignment horizontal="left" vertical="center"/>
    </xf>
    <xf numFmtId="0" fontId="4" fillId="2" borderId="8" xfId="0" applyFont="1" applyFill="1" applyBorder="1" applyAlignment="1">
      <alignment horizontal="left" vertical="center"/>
    </xf>
    <xf numFmtId="0" fontId="6" fillId="3" borderId="7" xfId="0" applyFont="1" applyFill="1" applyBorder="1" applyAlignment="1" applyProtection="1">
      <alignment horizontal="left" vertical="center" wrapText="1"/>
      <protection locked="0"/>
    </xf>
    <xf numFmtId="0" fontId="5" fillId="3" borderId="9" xfId="0" applyFont="1" applyFill="1" applyBorder="1" applyAlignment="1" applyProtection="1">
      <alignment horizontal="left" vertical="center" wrapText="1"/>
      <protection locked="0"/>
    </xf>
    <xf numFmtId="0" fontId="5" fillId="3" borderId="8" xfId="0" applyFont="1" applyFill="1" applyBorder="1" applyAlignment="1" applyProtection="1">
      <alignment horizontal="left" vertical="center" wrapText="1"/>
      <protection locked="0"/>
    </xf>
    <xf numFmtId="0" fontId="7" fillId="2" borderId="7"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8"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5" fillId="3" borderId="7" xfId="0" applyFont="1" applyFill="1" applyBorder="1" applyAlignment="1" applyProtection="1">
      <alignment horizontal="left" vertical="center"/>
      <protection locked="0"/>
    </xf>
    <xf numFmtId="0" fontId="5" fillId="3" borderId="9" xfId="0" applyFont="1" applyFill="1" applyBorder="1" applyAlignment="1" applyProtection="1">
      <alignment horizontal="left" vertical="center"/>
      <protection locked="0"/>
    </xf>
    <xf numFmtId="0" fontId="5" fillId="3" borderId="8" xfId="0" applyFont="1" applyFill="1" applyBorder="1" applyAlignment="1" applyProtection="1">
      <alignment horizontal="left" vertical="center"/>
      <protection locked="0"/>
    </xf>
    <xf numFmtId="0" fontId="3" fillId="3" borderId="0" xfId="0" applyFont="1" applyFill="1" applyAlignment="1">
      <alignment horizontal="left" vertical="center"/>
    </xf>
    <xf numFmtId="0" fontId="5" fillId="3" borderId="7" xfId="0" applyFont="1" applyFill="1" applyBorder="1" applyAlignment="1" applyProtection="1">
      <alignment horizontal="left" vertical="center" wrapText="1"/>
      <protection locked="0"/>
    </xf>
    <xf numFmtId="0" fontId="7" fillId="2" borderId="10"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4" xfId="0" applyFont="1" applyFill="1" applyBorder="1" applyAlignment="1">
      <alignment horizontal="center" vertical="center"/>
    </xf>
    <xf numFmtId="0" fontId="7" fillId="2" borderId="14" xfId="0" applyFont="1" applyFill="1" applyBorder="1" applyAlignment="1">
      <alignment horizontal="center" vertical="center"/>
    </xf>
    <xf numFmtId="0" fontId="7" fillId="2" borderId="11" xfId="0" applyFont="1" applyFill="1" applyBorder="1" applyAlignment="1">
      <alignment horizontal="center" vertical="center" wrapText="1"/>
    </xf>
    <xf numFmtId="0" fontId="7" fillId="2" borderId="10" xfId="0" applyFont="1" applyFill="1" applyBorder="1" applyAlignment="1">
      <alignment horizontal="center" vertical="center" textRotation="90" wrapText="1"/>
    </xf>
    <xf numFmtId="0" fontId="7" fillId="2" borderId="12" xfId="0" applyFont="1" applyFill="1" applyBorder="1" applyAlignment="1">
      <alignment horizontal="center" vertical="center" textRotation="90" wrapText="1"/>
    </xf>
    <xf numFmtId="0" fontId="8" fillId="2" borderId="10" xfId="0" applyFont="1" applyFill="1" applyBorder="1" applyAlignment="1">
      <alignment horizontal="center" vertical="center" textRotation="90"/>
    </xf>
    <xf numFmtId="0" fontId="8" fillId="2" borderId="12" xfId="0" applyFont="1" applyFill="1" applyBorder="1" applyAlignment="1">
      <alignment horizontal="center" vertical="center" textRotation="90"/>
    </xf>
    <xf numFmtId="0" fontId="7" fillId="2" borderId="11" xfId="0" applyFont="1" applyFill="1" applyBorder="1" applyAlignment="1">
      <alignment horizontal="center" vertical="center"/>
    </xf>
    <xf numFmtId="0" fontId="7" fillId="2" borderId="12" xfId="0" applyFont="1" applyFill="1" applyBorder="1" applyAlignment="1">
      <alignment horizontal="center" vertical="center"/>
    </xf>
    <xf numFmtId="0" fontId="7" fillId="2" borderId="13" xfId="0" applyFont="1" applyFill="1" applyBorder="1" applyAlignment="1">
      <alignment horizontal="center" vertical="center" wrapText="1"/>
    </xf>
    <xf numFmtId="0" fontId="7" fillId="2" borderId="11" xfId="0" applyFont="1" applyFill="1" applyBorder="1" applyAlignment="1">
      <alignment horizontal="center" vertical="center" textRotation="90" wrapText="1"/>
    </xf>
    <xf numFmtId="0" fontId="9" fillId="0" borderId="10" xfId="0" applyFont="1" applyBorder="1" applyAlignment="1" applyProtection="1">
      <alignment horizontal="left" vertical="center" wrapText="1"/>
      <protection locked="0"/>
    </xf>
    <xf numFmtId="0" fontId="9" fillId="0" borderId="13" xfId="0" applyFont="1" applyBorder="1" applyAlignment="1" applyProtection="1">
      <alignment horizontal="left" vertical="center" wrapText="1"/>
      <protection locked="0"/>
    </xf>
    <xf numFmtId="14" fontId="3" fillId="0" borderId="11" xfId="1" applyNumberFormat="1" applyFont="1" applyBorder="1" applyAlignment="1" applyProtection="1">
      <alignment horizontal="center" vertical="top"/>
      <protection locked="0"/>
    </xf>
  </cellXfs>
  <cellStyles count="2">
    <cellStyle name="Normal" xfId="0" builtinId="0"/>
    <cellStyle name="Porcentaje" xfId="1" builtinId="5"/>
  </cellStyles>
  <dxfs count="847">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calcChain" Target="calcChain.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ESSICA.FORERO\AppData\Local\Microsoft\Windows\INetCache\Content.Outlook\0J2LELND\MATRIZ%20DE%20RIESGO.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JESSICA.FORERO\AppData\Local\Microsoft\Windows\INetCache\Content.Outlook\0J2LELND\Matriz%20Mapa%20de%20Riegos%20OR.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JESSICA.FORERO\AppData\Local\Microsoft\Windows\INetCache\Content.Outlook\0J2LELND\1.%20Matriz_mapa_riesgos_Pagaduria.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JESSICA.FORERO\AppData\Local\Microsoft\Windows\INetCache\Content.Outlook\0J2LELND\2.%20Matriz_mapa_riesgos_final_%20almacen.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JESSICA.FORERO\AppData\Local\Microsoft\Windows\INetCache\Content.Outlook\0J2LELND\3.%20Matriz_mapa_riesgos_final_%20DNDA_03_08_22%20Contabilidad.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JESSICA.FORERO\AppData\Local\Microsoft\Windows\INetCache\Content.Outlook\0J2LELND\4.%20Matriz%20mapa%20de%20riesgos%20DNDA%20Archivo.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JESSICA.FORERO\AppData\Local\Microsoft\Windows\INetCache\Content.Outlook\0J2LELND\5.%20Matriz%20mapa%20de%20riesgos%20DNDA%20&#193;rea%20de%20compras.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JESSICA.FORERO\AppData\Local\Microsoft\Windows\INetCache\Content.Outlook\0J2LELND\6.%20Matriz%20mapa%20de%20riesgos%20DNDA%5eJ%20&#193;rea%20de%20Presupuesto.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JESSICA.FORERO\AppData\Local\Microsoft\Windows\INetCache\Content.Outlook\0J2LELND\1.%20Matriz_mapa_riesgos_final_%20DNDA_03_08_22.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Users\JESSICA.FORERO\AppData\Local\Microsoft\Windows\INetCache\Content.Outlook\0J2LELND\Matriz%20Mapa%20de%20Riesgos%20Sub%20Tec%20CI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uctivo"/>
      <sheetName val="Mapa final"/>
      <sheetName val="Matriz Calor Inherente"/>
      <sheetName val="Matriz Calor Residual"/>
      <sheetName val="Tabla probabilidad"/>
      <sheetName val="Tabla Impacto"/>
      <sheetName val="Tabla Valoración controles"/>
      <sheetName val="Opciones Tratamiento"/>
      <sheetName val="Hoja1"/>
    </sheetNames>
    <sheetDataSet>
      <sheetData sheetId="0" refreshError="1"/>
      <sheetData sheetId="1" refreshError="1"/>
      <sheetData sheetId="2" refreshError="1"/>
      <sheetData sheetId="3" refreshError="1"/>
      <sheetData sheetId="4" refreshError="1"/>
      <sheetData sheetId="5">
        <row r="11">
          <cell r="C11" t="str">
            <v xml:space="preserve">     Afectación menor a 10 SMLMV .</v>
          </cell>
          <cell r="D11" t="str">
            <v xml:space="preserve">     El riesgo afecta la imagen de alguna área de la organización</v>
          </cell>
        </row>
        <row r="12">
          <cell r="C12" t="str">
            <v xml:space="preserve">     Entre 10 y 50 SMLMV </v>
          </cell>
          <cell r="D12" t="str">
            <v xml:space="preserve">     El riesgo afecta la imagen de la entidad internamente, de conocimiento general, nivel interno, de junta dircetiva y accionistas y/o de provedores</v>
          </cell>
        </row>
        <row r="13">
          <cell r="C13" t="str">
            <v xml:space="preserve">     Entre 50 y 100 SMLMV </v>
          </cell>
          <cell r="D13" t="str">
            <v xml:space="preserve">     El riesgo afecta la imagen de la entidad con algunos usuarios de relevancia frente al logro de los objetivos</v>
          </cell>
        </row>
        <row r="14">
          <cell r="C14" t="str">
            <v xml:space="preserve">     Entre 100 y 500 SMLMV </v>
          </cell>
          <cell r="D14" t="str">
            <v xml:space="preserve">     El riesgo afecta la imagen de de la entidad con efecto publicitario sostenido a nivel de sector administrativo, nivel departamental o municipal</v>
          </cell>
        </row>
        <row r="15">
          <cell r="C15" t="str">
            <v xml:space="preserve">     Mayor a 500 SMLMV </v>
          </cell>
          <cell r="D15" t="str">
            <v xml:space="preserve">     El riesgo afecta la imagen de la entidad a nivel nacional, con efecto publicitarios sostenible a nivel país</v>
          </cell>
        </row>
        <row r="221">
          <cell r="B221" t="str">
            <v>Criterios</v>
          </cell>
        </row>
        <row r="222">
          <cell r="B222" t="str">
            <v>Afectación Económica o presupuestal</v>
          </cell>
        </row>
        <row r="223">
          <cell r="B223" t="str">
            <v>Pérdida Reputacional</v>
          </cell>
          <cell r="F223" t="str">
            <v>❌</v>
          </cell>
        </row>
      </sheetData>
      <sheetData sheetId="6" refreshError="1"/>
      <sheetData sheetId="7" refreshError="1"/>
      <sheetData sheetId="8"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uctivo"/>
      <sheetName val="Mapa final"/>
      <sheetName val="Matriz Calor Inherente"/>
      <sheetName val="Matriz Calor Residual"/>
      <sheetName val="Tabla probabilidad"/>
      <sheetName val="Tabla Impacto"/>
      <sheetName val="Tabla Valoración controles"/>
      <sheetName val="Opciones Tratamiento"/>
      <sheetName val="Hoja1"/>
    </sheetNames>
    <sheetDataSet>
      <sheetData sheetId="0" refreshError="1"/>
      <sheetData sheetId="1" refreshError="1"/>
      <sheetData sheetId="2" refreshError="1"/>
      <sheetData sheetId="3" refreshError="1"/>
      <sheetData sheetId="4" refreshError="1"/>
      <sheetData sheetId="5" refreshError="1">
        <row r="11">
          <cell r="C11" t="str">
            <v xml:space="preserve">     Afectación menor a 10 SMLMV .</v>
          </cell>
          <cell r="D11" t="str">
            <v xml:space="preserve">     El riesgo afecta la imagen de alguna área de la organización</v>
          </cell>
        </row>
        <row r="12">
          <cell r="C12" t="str">
            <v xml:space="preserve">     Entre 10 y 50 SMLMV </v>
          </cell>
          <cell r="D12" t="str">
            <v xml:space="preserve">     El riesgo afecta la imagen de la entidad internamente, de conocimiento general, nivel interno, de junta dircetiva y accionistas y/o de provedores</v>
          </cell>
        </row>
        <row r="13">
          <cell r="C13" t="str">
            <v xml:space="preserve">     Entre 50 y 100 SMLMV </v>
          </cell>
          <cell r="D13" t="str">
            <v xml:space="preserve">     El riesgo afecta la imagen de la entidad con algunos usuarios de relevancia frente al logro de los objetivos</v>
          </cell>
        </row>
        <row r="14">
          <cell r="C14" t="str">
            <v xml:space="preserve">     Entre 100 y 500 SMLMV </v>
          </cell>
          <cell r="D14" t="str">
            <v xml:space="preserve">     El riesgo afecta la imagen de de la entidad con efecto publicitario sostenido a nivel de sector administrativo, nivel departamental o municipal</v>
          </cell>
        </row>
        <row r="15">
          <cell r="C15" t="str">
            <v xml:space="preserve">     Mayor a 500 SMLMV </v>
          </cell>
          <cell r="D15" t="str">
            <v xml:space="preserve">     El riesgo afecta la imagen de la entidad a nivel nacional, con efecto publicitarios sostenible a nivel país</v>
          </cell>
        </row>
        <row r="221">
          <cell r="B221" t="str">
            <v>Criterios</v>
          </cell>
        </row>
        <row r="222">
          <cell r="B222" t="str">
            <v>Afectación Económica o presupuestal</v>
          </cell>
        </row>
        <row r="223">
          <cell r="B223" t="str">
            <v>Pérdida Reputacional</v>
          </cell>
          <cell r="F223" t="str">
            <v>❌</v>
          </cell>
        </row>
      </sheetData>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uctivo"/>
      <sheetName val="Mapa final"/>
      <sheetName val="Matriz Calor Inherente"/>
      <sheetName val="Matriz Calor Residual"/>
      <sheetName val="Tabla probabilidad"/>
      <sheetName val="Tabla Impacto"/>
      <sheetName val="Tabla Valoración controles"/>
      <sheetName val="Opciones Tratamiento"/>
      <sheetName val="Hoja1"/>
    </sheetNames>
    <sheetDataSet>
      <sheetData sheetId="0" refreshError="1"/>
      <sheetData sheetId="1" refreshError="1"/>
      <sheetData sheetId="2" refreshError="1"/>
      <sheetData sheetId="3" refreshError="1"/>
      <sheetData sheetId="4" refreshError="1"/>
      <sheetData sheetId="5">
        <row r="11">
          <cell r="C11" t="str">
            <v xml:space="preserve">     Afectación menor a 10 SMLMV .</v>
          </cell>
          <cell r="D11" t="str">
            <v xml:space="preserve">     El riesgo afecta la imagen de alguna área de la organización</v>
          </cell>
        </row>
        <row r="12">
          <cell r="C12" t="str">
            <v xml:space="preserve">     Entre 10 y 50 SMLMV </v>
          </cell>
          <cell r="D12" t="str">
            <v xml:space="preserve">     El riesgo afecta la imagen de la entidad internamente, de conocimiento general, nivel interno, de junta dircetiva y accionistas y/o de provedores</v>
          </cell>
        </row>
        <row r="13">
          <cell r="C13" t="str">
            <v xml:space="preserve">     Entre 50 y 100 SMLMV </v>
          </cell>
          <cell r="D13" t="str">
            <v xml:space="preserve">     El riesgo afecta la imagen de la entidad con algunos usuarios de relevancia frente al logro de los objetivos</v>
          </cell>
        </row>
        <row r="14">
          <cell r="C14" t="str">
            <v xml:space="preserve">     Entre 100 y 500 SMLMV </v>
          </cell>
          <cell r="D14" t="str">
            <v xml:space="preserve">     El riesgo afecta la imagen de de la entidad con efecto publicitario sostenido a nivel de sector administrativo, nivel departamental o municipal</v>
          </cell>
        </row>
        <row r="15">
          <cell r="C15" t="str">
            <v xml:space="preserve">     Mayor a 500 SMLMV </v>
          </cell>
          <cell r="D15" t="str">
            <v xml:space="preserve">     El riesgo afecta la imagen de la entidad a nivel nacional, con efecto publicitarios sostenible a nivel país</v>
          </cell>
        </row>
        <row r="221">
          <cell r="B221" t="str">
            <v>Criterios</v>
          </cell>
        </row>
        <row r="222">
          <cell r="B222" t="str">
            <v>Afectación Económica o presupuestal</v>
          </cell>
        </row>
        <row r="223">
          <cell r="B223" t="str">
            <v>Pérdida Reputacional</v>
          </cell>
          <cell r="F223" t="str">
            <v>❌</v>
          </cell>
        </row>
      </sheetData>
      <sheetData sheetId="6" refreshError="1"/>
      <sheetData sheetId="7" refreshError="1"/>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uctivo"/>
      <sheetName val="Mapa final"/>
      <sheetName val="Matriz Calor Inherente"/>
      <sheetName val="Matriz Calor Residual"/>
      <sheetName val="Tabla probabilidad"/>
      <sheetName val="Tabla Impacto"/>
      <sheetName val="Tabla Valoración controles"/>
      <sheetName val="Opciones Tratamiento"/>
      <sheetName val="Hoja1"/>
    </sheetNames>
    <sheetDataSet>
      <sheetData sheetId="0" refreshError="1"/>
      <sheetData sheetId="1" refreshError="1"/>
      <sheetData sheetId="2" refreshError="1"/>
      <sheetData sheetId="3" refreshError="1"/>
      <sheetData sheetId="4" refreshError="1"/>
      <sheetData sheetId="5">
        <row r="11">
          <cell r="C11" t="str">
            <v xml:space="preserve">     Afectación menor a 10 SMLMV .</v>
          </cell>
          <cell r="D11" t="str">
            <v xml:space="preserve">     El riesgo afecta la imagen de alguna área de la organización</v>
          </cell>
        </row>
        <row r="12">
          <cell r="C12" t="str">
            <v xml:space="preserve">     Entre 10 y 50 SMLMV </v>
          </cell>
          <cell r="D12" t="str">
            <v xml:space="preserve">     El riesgo afecta la imagen de la entidad internamente, de conocimiento general, nivel interno, de junta dircetiva y accionistas y/o de provedores</v>
          </cell>
        </row>
        <row r="13">
          <cell r="C13" t="str">
            <v xml:space="preserve">     Entre 50 y 100 SMLMV </v>
          </cell>
          <cell r="D13" t="str">
            <v xml:space="preserve">     El riesgo afecta la imagen de la entidad con algunos usuarios de relevancia frente al logro de los objetivos</v>
          </cell>
        </row>
        <row r="14">
          <cell r="C14" t="str">
            <v xml:space="preserve">     Entre 100 y 500 SMLMV </v>
          </cell>
          <cell r="D14" t="str">
            <v xml:space="preserve">     El riesgo afecta la imagen de de la entidad con efecto publicitario sostenido a nivel de sector administrativo, nivel departamental o municipal</v>
          </cell>
        </row>
        <row r="15">
          <cell r="C15" t="str">
            <v xml:space="preserve">     Mayor a 500 SMLMV </v>
          </cell>
          <cell r="D15" t="str">
            <v xml:space="preserve">     El riesgo afecta la imagen de la entidad a nivel nacional, con efecto publicitarios sostenible a nivel país</v>
          </cell>
        </row>
        <row r="221">
          <cell r="B221" t="str">
            <v>Criterios</v>
          </cell>
        </row>
        <row r="222">
          <cell r="B222" t="str">
            <v>Afectación Económica o presupuestal</v>
          </cell>
        </row>
        <row r="223">
          <cell r="B223" t="str">
            <v>Pérdida Reputacional</v>
          </cell>
          <cell r="F223" t="str">
            <v>❌</v>
          </cell>
        </row>
      </sheetData>
      <sheetData sheetId="6" refreshError="1"/>
      <sheetData sheetId="7" refreshError="1"/>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uctivo"/>
      <sheetName val="Mapa final"/>
      <sheetName val="Matriz Calor Inherente"/>
      <sheetName val="Matriz Calor Residual"/>
      <sheetName val="Tabla probabilidad"/>
      <sheetName val="Tabla Impacto"/>
      <sheetName val="Tabla Valoración controles"/>
      <sheetName val="Opciones Tratamiento"/>
      <sheetName val="Hoja1"/>
    </sheetNames>
    <sheetDataSet>
      <sheetData sheetId="0" refreshError="1"/>
      <sheetData sheetId="1" refreshError="1"/>
      <sheetData sheetId="2" refreshError="1"/>
      <sheetData sheetId="3" refreshError="1"/>
      <sheetData sheetId="4" refreshError="1"/>
      <sheetData sheetId="5">
        <row r="11">
          <cell r="C11" t="str">
            <v xml:space="preserve">     Afectación menor a 10 SMLMV .</v>
          </cell>
          <cell r="D11" t="str">
            <v xml:space="preserve">     El riesgo afecta la imagen de alguna área de la organización</v>
          </cell>
        </row>
        <row r="12">
          <cell r="C12" t="str">
            <v xml:space="preserve">     Entre 10 y 50 SMLMV </v>
          </cell>
          <cell r="D12" t="str">
            <v xml:space="preserve">     El riesgo afecta la imagen de la entidad internamente, de conocimiento general, nivel interno, de junta dircetiva y accionistas y/o de provedores</v>
          </cell>
        </row>
        <row r="13">
          <cell r="C13" t="str">
            <v xml:space="preserve">     Entre 50 y 100 SMLMV </v>
          </cell>
          <cell r="D13" t="str">
            <v xml:space="preserve">     El riesgo afecta la imagen de la entidad con algunos usuarios de relevancia frente al logro de los objetivos</v>
          </cell>
        </row>
        <row r="14">
          <cell r="C14" t="str">
            <v xml:space="preserve">     Entre 100 y 500 SMLMV </v>
          </cell>
          <cell r="D14" t="str">
            <v xml:space="preserve">     El riesgo afecta la imagen de de la entidad con efecto publicitario sostenido a nivel de sector administrativo, nivel departamental o municipal</v>
          </cell>
        </row>
        <row r="15">
          <cell r="C15" t="str">
            <v xml:space="preserve">     Mayor a 500 SMLMV </v>
          </cell>
          <cell r="D15" t="str">
            <v xml:space="preserve">     El riesgo afecta la imagen de la entidad a nivel nacional, con efecto publicitarios sostenible a nivel país</v>
          </cell>
        </row>
        <row r="221">
          <cell r="B221" t="str">
            <v>Criterios</v>
          </cell>
        </row>
        <row r="222">
          <cell r="B222" t="str">
            <v>Afectación Económica o presupuestal</v>
          </cell>
        </row>
        <row r="223">
          <cell r="B223" t="str">
            <v>Pérdida Reputacional</v>
          </cell>
          <cell r="F223" t="str">
            <v>❌</v>
          </cell>
        </row>
      </sheetData>
      <sheetData sheetId="6" refreshError="1"/>
      <sheetData sheetId="7" refreshError="1"/>
      <sheetData sheetId="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uctivo"/>
      <sheetName val="Mapa final"/>
      <sheetName val="Matriz Calor Inherente"/>
      <sheetName val="Matriz Calor Residual"/>
      <sheetName val="Tabla probabilidad"/>
      <sheetName val="Tabla Impacto"/>
      <sheetName val="Tabla Valoración controles"/>
      <sheetName val="Opciones Tratamiento"/>
      <sheetName val="Hoja1"/>
    </sheetNames>
    <sheetDataSet>
      <sheetData sheetId="0" refreshError="1"/>
      <sheetData sheetId="1" refreshError="1"/>
      <sheetData sheetId="2" refreshError="1"/>
      <sheetData sheetId="3" refreshError="1"/>
      <sheetData sheetId="4" refreshError="1"/>
      <sheetData sheetId="5">
        <row r="11">
          <cell r="C11" t="str">
            <v xml:space="preserve">     Afectación menor a 10 SMLMV .</v>
          </cell>
          <cell r="D11" t="str">
            <v xml:space="preserve">     El riesgo afecta la imagen de alguna área de la organización</v>
          </cell>
        </row>
        <row r="12">
          <cell r="C12" t="str">
            <v xml:space="preserve">     Entre 10 y 50 SMLMV </v>
          </cell>
          <cell r="D12" t="str">
            <v xml:space="preserve">     El riesgo afecta la imagen de la entidad internamente, de conocimiento general, nivel interno, de junta dircetiva y accionistas y/o de provedores</v>
          </cell>
        </row>
        <row r="13">
          <cell r="C13" t="str">
            <v xml:space="preserve">     Entre 50 y 100 SMLMV </v>
          </cell>
          <cell r="D13" t="str">
            <v xml:space="preserve">     El riesgo afecta la imagen de la entidad con algunos usuarios de relevancia frente al logro de los objetivos</v>
          </cell>
        </row>
        <row r="14">
          <cell r="C14" t="str">
            <v xml:space="preserve">     Entre 100 y 500 SMLMV </v>
          </cell>
          <cell r="D14" t="str">
            <v xml:space="preserve">     El riesgo afecta la imagen de de la entidad con efecto publicitario sostenido a nivel de sector administrativo, nivel departamental o municipal</v>
          </cell>
        </row>
        <row r="15">
          <cell r="C15" t="str">
            <v xml:space="preserve">     Mayor a 500 SMLMV </v>
          </cell>
          <cell r="D15" t="str">
            <v xml:space="preserve">     El riesgo afecta la imagen de la entidad a nivel nacional, con efecto publicitarios sostenible a nivel país</v>
          </cell>
        </row>
        <row r="221">
          <cell r="B221" t="str">
            <v>Criterios</v>
          </cell>
        </row>
        <row r="222">
          <cell r="B222" t="str">
            <v>Afectación Económica o presupuestal</v>
          </cell>
        </row>
        <row r="223">
          <cell r="B223" t="str">
            <v>Pérdida Reputacional</v>
          </cell>
          <cell r="F223" t="str">
            <v>❌</v>
          </cell>
        </row>
      </sheetData>
      <sheetData sheetId="6" refreshError="1"/>
      <sheetData sheetId="7" refreshError="1"/>
      <sheetData sheetId="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uctivo"/>
      <sheetName val="Mapa final"/>
      <sheetName val="Matriz Calor Inherente"/>
      <sheetName val="Matriz Calor Residual"/>
      <sheetName val="Tabla probabilidad"/>
      <sheetName val="Tabla Impacto"/>
      <sheetName val="Tabla Valoración controles"/>
      <sheetName val="Opciones Tratamiento"/>
      <sheetName val="Hoja1"/>
    </sheetNames>
    <sheetDataSet>
      <sheetData sheetId="0" refreshError="1"/>
      <sheetData sheetId="1" refreshError="1"/>
      <sheetData sheetId="2" refreshError="1"/>
      <sheetData sheetId="3" refreshError="1"/>
      <sheetData sheetId="4" refreshError="1"/>
      <sheetData sheetId="5">
        <row r="11">
          <cell r="C11" t="str">
            <v xml:space="preserve">     Afectación menor a 10 SMLMV .</v>
          </cell>
          <cell r="D11" t="str">
            <v xml:space="preserve">     El riesgo afecta la imagen de alguna área de la organización</v>
          </cell>
        </row>
        <row r="12">
          <cell r="C12" t="str">
            <v xml:space="preserve">     Entre 10 y 50 SMLMV </v>
          </cell>
          <cell r="D12" t="str">
            <v xml:space="preserve">     El riesgo afecta la imagen de la entidad internamente, de conocimiento general, nivel interno, de junta dircetiva y accionistas y/o de provedores</v>
          </cell>
        </row>
        <row r="13">
          <cell r="C13" t="str">
            <v xml:space="preserve">     Entre 50 y 100 SMLMV </v>
          </cell>
          <cell r="D13" t="str">
            <v xml:space="preserve">     El riesgo afecta la imagen de la entidad con algunos usuarios de relevancia frente al logro de los objetivos</v>
          </cell>
        </row>
        <row r="14">
          <cell r="C14" t="str">
            <v xml:space="preserve">     Entre 100 y 500 SMLMV </v>
          </cell>
          <cell r="D14" t="str">
            <v xml:space="preserve">     El riesgo afecta la imagen de de la entidad con efecto publicitario sostenido a nivel de sector administrativo, nivel departamental o municipal</v>
          </cell>
        </row>
        <row r="15">
          <cell r="C15" t="str">
            <v xml:space="preserve">     Mayor a 500 SMLMV </v>
          </cell>
          <cell r="D15" t="str">
            <v xml:space="preserve">     El riesgo afecta la imagen de la entidad a nivel nacional, con efecto publicitarios sostenible a nivel país</v>
          </cell>
        </row>
        <row r="221">
          <cell r="B221" t="str">
            <v>Criterios</v>
          </cell>
        </row>
        <row r="222">
          <cell r="B222" t="str">
            <v>Afectación Económica o presupuestal</v>
          </cell>
        </row>
        <row r="223">
          <cell r="B223" t="str">
            <v>Pérdida Reputacional</v>
          </cell>
          <cell r="F223" t="str">
            <v>❌</v>
          </cell>
        </row>
      </sheetData>
      <sheetData sheetId="6" refreshError="1"/>
      <sheetData sheetId="7" refreshError="1"/>
      <sheetData sheetId="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uctivo"/>
      <sheetName val="Mapa final"/>
      <sheetName val="Matriz Calor Inherente"/>
      <sheetName val="Matriz Calor Residual"/>
      <sheetName val="Tabla probabilidad"/>
      <sheetName val="Tabla Impacto"/>
      <sheetName val="Tabla Valoración controles"/>
      <sheetName val="Opciones Tratamiento"/>
      <sheetName val="Hoja1"/>
    </sheetNames>
    <sheetDataSet>
      <sheetData sheetId="0" refreshError="1"/>
      <sheetData sheetId="1" refreshError="1"/>
      <sheetData sheetId="2" refreshError="1"/>
      <sheetData sheetId="3" refreshError="1"/>
      <sheetData sheetId="4" refreshError="1"/>
      <sheetData sheetId="5">
        <row r="11">
          <cell r="C11" t="str">
            <v xml:space="preserve">     Afectación menor a 10 SMLMV .</v>
          </cell>
          <cell r="D11" t="str">
            <v xml:space="preserve">     El riesgo afecta la imagen de alguna área de la organización</v>
          </cell>
        </row>
        <row r="12">
          <cell r="C12" t="str">
            <v xml:space="preserve">     Entre 10 y 50 SMLMV </v>
          </cell>
          <cell r="D12" t="str">
            <v xml:space="preserve">     El riesgo afecta la imagen de la entidad internamente, de conocimiento general, nivel interno, de junta dircetiva y accionistas y/o de provedores</v>
          </cell>
        </row>
        <row r="13">
          <cell r="C13" t="str">
            <v xml:space="preserve">     Entre 50 y 100 SMLMV </v>
          </cell>
          <cell r="D13" t="str">
            <v xml:space="preserve">     El riesgo afecta la imagen de la entidad con algunos usuarios de relevancia frente al logro de los objetivos</v>
          </cell>
        </row>
        <row r="14">
          <cell r="C14" t="str">
            <v xml:space="preserve">     Entre 100 y 500 SMLMV </v>
          </cell>
          <cell r="D14" t="str">
            <v xml:space="preserve">     El riesgo afecta la imagen de de la entidad con efecto publicitario sostenido a nivel de sector administrativo, nivel departamental o municipal</v>
          </cell>
        </row>
        <row r="15">
          <cell r="C15" t="str">
            <v xml:space="preserve">     Mayor a 500 SMLMV </v>
          </cell>
          <cell r="D15" t="str">
            <v xml:space="preserve">     El riesgo afecta la imagen de la entidad a nivel nacional, con efecto publicitarios sostenible a nivel país</v>
          </cell>
        </row>
        <row r="221">
          <cell r="B221" t="str">
            <v>Criterios</v>
          </cell>
        </row>
        <row r="222">
          <cell r="B222" t="str">
            <v>Afectación Económica o presupuestal</v>
          </cell>
        </row>
        <row r="223">
          <cell r="B223" t="str">
            <v>Pérdida Reputacional</v>
          </cell>
          <cell r="F223" t="str">
            <v>❌</v>
          </cell>
        </row>
      </sheetData>
      <sheetData sheetId="6" refreshError="1"/>
      <sheetData sheetId="7" refreshError="1"/>
      <sheetData sheetId="8"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uctivo"/>
      <sheetName val="Mapa final"/>
      <sheetName val="Matriz Calor Inherente"/>
      <sheetName val="Matriz Calor Residual"/>
      <sheetName val="Tabla probabilidad"/>
      <sheetName val="Tabla Impacto"/>
      <sheetName val="Tabla Valoración controles"/>
      <sheetName val="Opciones Tratamiento"/>
      <sheetName val="Hoja1"/>
    </sheetNames>
    <sheetDataSet>
      <sheetData sheetId="0" refreshError="1"/>
      <sheetData sheetId="1" refreshError="1"/>
      <sheetData sheetId="2" refreshError="1"/>
      <sheetData sheetId="3" refreshError="1"/>
      <sheetData sheetId="4" refreshError="1"/>
      <sheetData sheetId="5">
        <row r="11">
          <cell r="C11" t="str">
            <v xml:space="preserve">     Afectación menor a 10 SMLMV .</v>
          </cell>
          <cell r="D11" t="str">
            <v xml:space="preserve">     El riesgo afecta la imagen de alguna área de la organización</v>
          </cell>
        </row>
        <row r="12">
          <cell r="C12" t="str">
            <v xml:space="preserve">     Entre 10 y 50 SMLMV </v>
          </cell>
          <cell r="D12" t="str">
            <v xml:space="preserve">     El riesgo afecta la imagen de la entidad internamente, de conocimiento general, nivel interno, de junta dircetiva y accionistas y/o de provedores</v>
          </cell>
        </row>
        <row r="13">
          <cell r="C13" t="str">
            <v xml:space="preserve">     Entre 50 y 100 SMLMV </v>
          </cell>
          <cell r="D13" t="str">
            <v xml:space="preserve">     El riesgo afecta la imagen de la entidad con algunos usuarios de relevancia frente al logro de los objetivos</v>
          </cell>
        </row>
        <row r="14">
          <cell r="C14" t="str">
            <v xml:space="preserve">     Entre 100 y 500 SMLMV </v>
          </cell>
          <cell r="D14" t="str">
            <v xml:space="preserve">     El riesgo afecta la imagen de de la entidad con efecto publicitario sostenido a nivel de sector administrativo, nivel departamental o municipal</v>
          </cell>
        </row>
        <row r="15">
          <cell r="C15" t="str">
            <v xml:space="preserve">     Mayor a 500 SMLMV </v>
          </cell>
          <cell r="D15" t="str">
            <v xml:space="preserve">     El riesgo afecta la imagen de la entidad a nivel nacional, con efecto publicitarios sostenible a nivel país</v>
          </cell>
        </row>
        <row r="221">
          <cell r="B221" t="str">
            <v>Criterios</v>
          </cell>
        </row>
        <row r="222">
          <cell r="B222" t="str">
            <v>Afectación Económica o presupuestal</v>
          </cell>
        </row>
        <row r="223">
          <cell r="B223" t="str">
            <v>Pérdida Reputacional</v>
          </cell>
          <cell r="F223" t="str">
            <v>❌</v>
          </cell>
        </row>
      </sheetData>
      <sheetData sheetId="6" refreshError="1"/>
      <sheetData sheetId="7" refreshError="1"/>
      <sheetData sheetId="8"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uctivo"/>
      <sheetName val="Mapa final"/>
      <sheetName val="Matriz Calor Inherente"/>
      <sheetName val="Matriz Calor Residual"/>
      <sheetName val="Tabla probabilidad"/>
      <sheetName val="Tabla Impacto"/>
      <sheetName val="Tabla Valoración controles"/>
      <sheetName val="Opciones Tratamiento"/>
      <sheetName val="Hoja1"/>
    </sheetNames>
    <sheetDataSet>
      <sheetData sheetId="0" refreshError="1"/>
      <sheetData sheetId="1" refreshError="1"/>
      <sheetData sheetId="2" refreshError="1"/>
      <sheetData sheetId="3" refreshError="1"/>
      <sheetData sheetId="4" refreshError="1"/>
      <sheetData sheetId="5">
        <row r="11">
          <cell r="C11" t="str">
            <v xml:space="preserve">     Afectación menor a 10 SMLMV .</v>
          </cell>
          <cell r="D11" t="str">
            <v xml:space="preserve">     El riesgo afecta la imagen de alguna área de la organización</v>
          </cell>
        </row>
        <row r="12">
          <cell r="C12" t="str">
            <v xml:space="preserve">     Entre 10 y 50 SMLMV </v>
          </cell>
          <cell r="D12" t="str">
            <v xml:space="preserve">     El riesgo afecta la imagen de la entidad internamente, de conocimiento general, nivel interno, de junta dircetiva y accionistas y/o de provedores</v>
          </cell>
        </row>
        <row r="13">
          <cell r="C13" t="str">
            <v xml:space="preserve">     Entre 50 y 100 SMLMV </v>
          </cell>
          <cell r="D13" t="str">
            <v xml:space="preserve">     El riesgo afecta la imagen de la entidad con algunos usuarios de relevancia frente al logro de los objetivos</v>
          </cell>
        </row>
        <row r="14">
          <cell r="C14" t="str">
            <v xml:space="preserve">     Entre 100 y 500 SMLMV </v>
          </cell>
          <cell r="D14" t="str">
            <v xml:space="preserve">     El riesgo afecta la imagen de de la entidad con efecto publicitario sostenido a nivel de sector administrativo, nivel departamental o municipal</v>
          </cell>
        </row>
        <row r="15">
          <cell r="C15" t="str">
            <v xml:space="preserve">     Mayor a 500 SMLMV </v>
          </cell>
          <cell r="D15" t="str">
            <v xml:space="preserve">     El riesgo afecta la imagen de la entidad a nivel nacional, con efecto publicitarios sostenible a nivel país</v>
          </cell>
        </row>
        <row r="221">
          <cell r="B221" t="str">
            <v>Criterios</v>
          </cell>
        </row>
        <row r="222">
          <cell r="B222" t="str">
            <v>Afectación Económica o presupuestal</v>
          </cell>
        </row>
        <row r="223">
          <cell r="B223" t="str">
            <v>Pérdida Reputacional</v>
          </cell>
          <cell r="F223" t="str">
            <v>❌</v>
          </cell>
        </row>
      </sheetData>
      <sheetData sheetId="6" refreshError="1"/>
      <sheetData sheetId="7" refreshError="1"/>
      <sheetData sheetId="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6DF819-1B79-4F96-9FD7-F205ED191625}">
  <sheetPr>
    <tabColor rgb="FF002060"/>
  </sheetPr>
  <dimension ref="A1:BP98"/>
  <sheetViews>
    <sheetView tabSelected="1" topLeftCell="A9" zoomScale="50" zoomScaleNormal="50" workbookViewId="0">
      <pane ySplit="1" topLeftCell="A10" activePane="bottomLeft" state="frozen"/>
      <selection activeCell="A9" sqref="A9"/>
      <selection pane="bottomLeft" activeCell="C103" sqref="C103"/>
    </sheetView>
  </sheetViews>
  <sheetFormatPr baseColWidth="10" defaultColWidth="11.42578125" defaultRowHeight="16.5" x14ac:dyDescent="0.3"/>
  <cols>
    <col min="1" max="1" width="21.7109375" style="63" customWidth="1"/>
    <col min="2" max="2" width="15.28515625" style="63" customWidth="1"/>
    <col min="3" max="3" width="16.7109375" style="63" customWidth="1"/>
    <col min="4" max="4" width="16.85546875" style="63" customWidth="1"/>
    <col min="5" max="5" width="46.42578125" style="2" customWidth="1"/>
    <col min="6" max="6" width="39.140625" style="64" customWidth="1"/>
    <col min="7" max="7" width="17.85546875" style="2" customWidth="1"/>
    <col min="8" max="8" width="16.5703125" style="2" customWidth="1"/>
    <col min="9" max="9" width="6.28515625" style="2" bestFit="1" customWidth="1"/>
    <col min="10" max="10" width="27.28515625" style="2" bestFit="1" customWidth="1"/>
    <col min="11" max="11" width="30.5703125" style="2" hidden="1" customWidth="1"/>
    <col min="12" max="12" width="17.5703125" style="2" customWidth="1"/>
    <col min="13" max="13" width="6.28515625" style="2" bestFit="1" customWidth="1"/>
    <col min="14" max="14" width="16" style="2" customWidth="1"/>
    <col min="15" max="15" width="5.85546875" style="2" customWidth="1"/>
    <col min="16" max="16" width="52.85546875" style="2" customWidth="1"/>
    <col min="17" max="17" width="15.140625" style="2" bestFit="1" customWidth="1"/>
    <col min="18" max="18" width="6.85546875" style="2" customWidth="1"/>
    <col min="19" max="19" width="5" style="2" customWidth="1"/>
    <col min="20" max="20" width="5.5703125" style="2" customWidth="1"/>
    <col min="21" max="21" width="7.140625" style="2" customWidth="1"/>
    <col min="22" max="22" width="6.7109375" style="2" customWidth="1"/>
    <col min="23" max="23" width="7.5703125" style="2" customWidth="1"/>
    <col min="24" max="24" width="38.28515625" style="2" hidden="1" customWidth="1"/>
    <col min="25" max="25" width="8.7109375" style="2" customWidth="1"/>
    <col min="26" max="26" width="10.42578125" style="2" customWidth="1"/>
    <col min="27" max="27" width="9.28515625" style="2" customWidth="1"/>
    <col min="28" max="28" width="9.140625" style="2" customWidth="1"/>
    <col min="29" max="29" width="8.42578125" style="2" customWidth="1"/>
    <col min="30" max="30" width="7.28515625" style="2" customWidth="1"/>
    <col min="31" max="31" width="34" style="2" customWidth="1"/>
    <col min="32" max="32" width="18.85546875" style="2" customWidth="1"/>
    <col min="33" max="33" width="16.85546875" style="2" customWidth="1"/>
    <col min="34" max="34" width="14.85546875" style="2" customWidth="1"/>
    <col min="35" max="35" width="18.5703125" style="2" customWidth="1"/>
    <col min="36" max="36" width="21" style="2" customWidth="1"/>
    <col min="37" max="16384" width="11.42578125" style="2"/>
  </cols>
  <sheetData>
    <row r="1" spans="1:68" ht="16.5" hidden="1" customHeight="1" x14ac:dyDescent="0.3">
      <c r="A1" s="170" t="s">
        <v>0</v>
      </c>
      <c r="B1" s="171"/>
      <c r="C1" s="171"/>
      <c r="D1" s="171"/>
      <c r="E1" s="171"/>
      <c r="F1" s="171"/>
      <c r="G1" s="171"/>
      <c r="H1" s="171"/>
      <c r="I1" s="171"/>
      <c r="J1" s="171"/>
      <c r="K1" s="171"/>
      <c r="L1" s="171"/>
      <c r="M1" s="171"/>
      <c r="N1" s="171"/>
      <c r="O1" s="171"/>
      <c r="P1" s="171"/>
      <c r="Q1" s="171"/>
      <c r="R1" s="171"/>
      <c r="S1" s="171"/>
      <c r="T1" s="171"/>
      <c r="U1" s="171"/>
      <c r="V1" s="171"/>
      <c r="W1" s="171"/>
      <c r="X1" s="171"/>
      <c r="Y1" s="171"/>
      <c r="Z1" s="171"/>
      <c r="AA1" s="171"/>
      <c r="AB1" s="171"/>
      <c r="AC1" s="171"/>
      <c r="AD1" s="171"/>
      <c r="AE1" s="171"/>
      <c r="AF1" s="171"/>
      <c r="AG1" s="171"/>
      <c r="AH1" s="171"/>
      <c r="AI1" s="171"/>
      <c r="AJ1" s="172"/>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row>
    <row r="2" spans="1:68" ht="24" hidden="1" customHeight="1" x14ac:dyDescent="0.3">
      <c r="A2" s="173"/>
      <c r="B2" s="174"/>
      <c r="C2" s="174"/>
      <c r="D2" s="174"/>
      <c r="E2" s="174"/>
      <c r="F2" s="174"/>
      <c r="G2" s="174"/>
      <c r="H2" s="174"/>
      <c r="I2" s="174"/>
      <c r="J2" s="174"/>
      <c r="K2" s="174"/>
      <c r="L2" s="174"/>
      <c r="M2" s="174"/>
      <c r="N2" s="174"/>
      <c r="O2" s="174"/>
      <c r="P2" s="174"/>
      <c r="Q2" s="174"/>
      <c r="R2" s="174"/>
      <c r="S2" s="174"/>
      <c r="T2" s="174"/>
      <c r="U2" s="174"/>
      <c r="V2" s="174"/>
      <c r="W2" s="174"/>
      <c r="X2" s="174"/>
      <c r="Y2" s="174"/>
      <c r="Z2" s="174"/>
      <c r="AA2" s="174"/>
      <c r="AB2" s="174"/>
      <c r="AC2" s="174"/>
      <c r="AD2" s="174"/>
      <c r="AE2" s="174"/>
      <c r="AF2" s="174"/>
      <c r="AG2" s="174"/>
      <c r="AH2" s="174"/>
      <c r="AI2" s="174"/>
      <c r="AJ2" s="175"/>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row>
    <row r="3" spans="1:68" hidden="1" x14ac:dyDescent="0.3">
      <c r="A3" s="3"/>
      <c r="B3" s="4"/>
      <c r="C3" s="3"/>
      <c r="D3" s="3"/>
      <c r="E3" s="1"/>
      <c r="F3" s="5"/>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row>
    <row r="4" spans="1:68" ht="26.25" hidden="1" customHeight="1" x14ac:dyDescent="0.3">
      <c r="A4" s="162" t="s">
        <v>1</v>
      </c>
      <c r="B4" s="163"/>
      <c r="C4" s="176" t="s">
        <v>2</v>
      </c>
      <c r="D4" s="177"/>
      <c r="E4" s="177"/>
      <c r="F4" s="177"/>
      <c r="G4" s="177"/>
      <c r="H4" s="177"/>
      <c r="I4" s="177"/>
      <c r="J4" s="177"/>
      <c r="K4" s="177"/>
      <c r="L4" s="177"/>
      <c r="M4" s="177"/>
      <c r="N4" s="178"/>
      <c r="O4" s="179"/>
      <c r="P4" s="179"/>
      <c r="Q4" s="179"/>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row>
    <row r="5" spans="1:68" ht="76.5" hidden="1" customHeight="1" x14ac:dyDescent="0.3">
      <c r="A5" s="162" t="s">
        <v>3</v>
      </c>
      <c r="B5" s="163"/>
      <c r="C5" s="180" t="s">
        <v>4</v>
      </c>
      <c r="D5" s="165"/>
      <c r="E5" s="165"/>
      <c r="F5" s="165"/>
      <c r="G5" s="165"/>
      <c r="H5" s="165"/>
      <c r="I5" s="165"/>
      <c r="J5" s="165"/>
      <c r="K5" s="165"/>
      <c r="L5" s="165"/>
      <c r="M5" s="165"/>
      <c r="N5" s="166"/>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row>
    <row r="6" spans="1:68" ht="49.5" hidden="1" customHeight="1" x14ac:dyDescent="0.3">
      <c r="A6" s="162" t="s">
        <v>5</v>
      </c>
      <c r="B6" s="163"/>
      <c r="C6" s="164" t="s">
        <v>6</v>
      </c>
      <c r="D6" s="165"/>
      <c r="E6" s="165"/>
      <c r="F6" s="165"/>
      <c r="G6" s="165"/>
      <c r="H6" s="165"/>
      <c r="I6" s="165"/>
      <c r="J6" s="165"/>
      <c r="K6" s="165"/>
      <c r="L6" s="165"/>
      <c r="M6" s="165"/>
      <c r="N6" s="166"/>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row>
    <row r="7" spans="1:68" ht="15.75" hidden="1" customHeight="1" x14ac:dyDescent="0.3">
      <c r="A7" s="167" t="s">
        <v>7</v>
      </c>
      <c r="B7" s="168"/>
      <c r="C7" s="168"/>
      <c r="D7" s="168"/>
      <c r="E7" s="168"/>
      <c r="F7" s="168"/>
      <c r="G7" s="169"/>
      <c r="H7" s="167" t="s">
        <v>8</v>
      </c>
      <c r="I7" s="168"/>
      <c r="J7" s="168"/>
      <c r="K7" s="168"/>
      <c r="L7" s="168"/>
      <c r="M7" s="168"/>
      <c r="N7" s="169"/>
      <c r="O7" s="167" t="s">
        <v>9</v>
      </c>
      <c r="P7" s="168"/>
      <c r="Q7" s="168"/>
      <c r="R7" s="168"/>
      <c r="S7" s="168"/>
      <c r="T7" s="168"/>
      <c r="U7" s="168"/>
      <c r="V7" s="168"/>
      <c r="W7" s="169"/>
      <c r="X7" s="167" t="s">
        <v>10</v>
      </c>
      <c r="Y7" s="168"/>
      <c r="Z7" s="168"/>
      <c r="AA7" s="168"/>
      <c r="AB7" s="168"/>
      <c r="AC7" s="168"/>
      <c r="AD7" s="169"/>
      <c r="AE7" s="167" t="s">
        <v>11</v>
      </c>
      <c r="AF7" s="168"/>
      <c r="AG7" s="168"/>
      <c r="AH7" s="168"/>
      <c r="AI7" s="168"/>
      <c r="AJ7" s="169"/>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row>
    <row r="8" spans="1:68" ht="16.5" hidden="1" customHeight="1" x14ac:dyDescent="0.3">
      <c r="A8" s="189" t="s">
        <v>12</v>
      </c>
      <c r="B8" s="191" t="s">
        <v>13</v>
      </c>
      <c r="C8" s="182" t="s">
        <v>14</v>
      </c>
      <c r="D8" s="182" t="s">
        <v>15</v>
      </c>
      <c r="E8" s="192" t="s">
        <v>16</v>
      </c>
      <c r="F8" s="181" t="s">
        <v>17</v>
      </c>
      <c r="G8" s="182" t="s">
        <v>18</v>
      </c>
      <c r="H8" s="193" t="s">
        <v>19</v>
      </c>
      <c r="I8" s="185" t="s">
        <v>20</v>
      </c>
      <c r="J8" s="181" t="s">
        <v>21</v>
      </c>
      <c r="K8" s="181" t="s">
        <v>22</v>
      </c>
      <c r="L8" s="183" t="s">
        <v>23</v>
      </c>
      <c r="M8" s="185" t="s">
        <v>20</v>
      </c>
      <c r="N8" s="182" t="s">
        <v>24</v>
      </c>
      <c r="O8" s="187" t="s">
        <v>25</v>
      </c>
      <c r="P8" s="186" t="s">
        <v>26</v>
      </c>
      <c r="Q8" s="181" t="s">
        <v>27</v>
      </c>
      <c r="R8" s="186" t="s">
        <v>28</v>
      </c>
      <c r="S8" s="186"/>
      <c r="T8" s="186"/>
      <c r="U8" s="186"/>
      <c r="V8" s="186"/>
      <c r="W8" s="186"/>
      <c r="X8" s="194" t="s">
        <v>29</v>
      </c>
      <c r="Y8" s="194" t="s">
        <v>30</v>
      </c>
      <c r="Z8" s="194" t="s">
        <v>20</v>
      </c>
      <c r="AA8" s="194" t="s">
        <v>31</v>
      </c>
      <c r="AB8" s="194" t="s">
        <v>20</v>
      </c>
      <c r="AC8" s="194" t="s">
        <v>32</v>
      </c>
      <c r="AD8" s="187" t="s">
        <v>33</v>
      </c>
      <c r="AE8" s="186" t="s">
        <v>11</v>
      </c>
      <c r="AF8" s="186" t="s">
        <v>34</v>
      </c>
      <c r="AG8" s="186" t="s">
        <v>35</v>
      </c>
      <c r="AH8" s="186" t="s">
        <v>36</v>
      </c>
      <c r="AI8" s="186" t="s">
        <v>37</v>
      </c>
      <c r="AJ8" s="186" t="s">
        <v>38</v>
      </c>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row>
    <row r="9" spans="1:68" s="8" customFormat="1" ht="94.5" customHeight="1" x14ac:dyDescent="0.25">
      <c r="A9" s="190"/>
      <c r="B9" s="191"/>
      <c r="C9" s="186"/>
      <c r="D9" s="186"/>
      <c r="E9" s="191"/>
      <c r="F9" s="182"/>
      <c r="G9" s="186"/>
      <c r="H9" s="182"/>
      <c r="I9" s="184"/>
      <c r="J9" s="182"/>
      <c r="K9" s="182"/>
      <c r="L9" s="184"/>
      <c r="M9" s="184"/>
      <c r="N9" s="186"/>
      <c r="O9" s="188"/>
      <c r="P9" s="186"/>
      <c r="Q9" s="182"/>
      <c r="R9" s="6" t="s">
        <v>39</v>
      </c>
      <c r="S9" s="6" t="s">
        <v>40</v>
      </c>
      <c r="T9" s="6" t="s">
        <v>41</v>
      </c>
      <c r="U9" s="6" t="s">
        <v>42</v>
      </c>
      <c r="V9" s="6" t="s">
        <v>43</v>
      </c>
      <c r="W9" s="6" t="s">
        <v>44</v>
      </c>
      <c r="X9" s="194"/>
      <c r="Y9" s="194"/>
      <c r="Z9" s="194"/>
      <c r="AA9" s="194"/>
      <c r="AB9" s="194"/>
      <c r="AC9" s="194"/>
      <c r="AD9" s="188"/>
      <c r="AE9" s="186"/>
      <c r="AF9" s="186"/>
      <c r="AG9" s="186"/>
      <c r="AH9" s="186"/>
      <c r="AI9" s="186"/>
      <c r="AJ9" s="186"/>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row>
    <row r="10" spans="1:68" s="32" customFormat="1" ht="167.25" customHeight="1" x14ac:dyDescent="0.25">
      <c r="A10" s="120" t="s">
        <v>88</v>
      </c>
      <c r="B10" s="9" t="s">
        <v>45</v>
      </c>
      <c r="C10" s="9" t="s">
        <v>46</v>
      </c>
      <c r="D10" s="9" t="s">
        <v>47</v>
      </c>
      <c r="E10" s="10" t="s">
        <v>48</v>
      </c>
      <c r="F10" s="9" t="s">
        <v>49</v>
      </c>
      <c r="G10" s="11">
        <v>720</v>
      </c>
      <c r="H10" s="12" t="str">
        <f>IF(G10&lt;=0,"",IF(G10&lt;=2,"Muy Baja",IF(G10&lt;=24,"Baja",IF(G10&lt;=500,"Media",IF(G10&lt;=5000,"Alta","Muy Alta")))))</f>
        <v>Alta</v>
      </c>
      <c r="I10" s="13">
        <f>IF(H10="","",IF(H10="Muy Baja",0.2,IF(H10="Baja",0.4,IF(H10="Media",0.6,IF(H10="Alta",0.8,IF(H10="Muy Alta",1,))))))</f>
        <v>0.8</v>
      </c>
      <c r="J10" s="14" t="s">
        <v>50</v>
      </c>
      <c r="K10" s="13" t="str">
        <f>IF(NOT(ISERROR(MATCH(J10,'[1]Tabla Impacto'!$B$221:$B$223,0))),'[1]Tabla Impacto'!$F$223&amp;"Por favor no seleccionar los criterios de impacto(Afectación Económica o presupuestal y Pérdida Reputacional)",J10)</f>
        <v xml:space="preserve">     El riesgo afecta la imagen de la entidad a nivel nacional, con efecto publicitarios sostenible a nivel país</v>
      </c>
      <c r="L10" s="12" t="str">
        <f>IF(OR(K10='[1]Tabla Impacto'!$C$11,K10='[1]Tabla Impacto'!$D$11),"Leve",IF(OR(K10='[1]Tabla Impacto'!$C$12,K10='[1]Tabla Impacto'!$D$12),"Menor",IF(OR(K10='[1]Tabla Impacto'!$C$13,K10='[1]Tabla Impacto'!$D$13),"Moderado",IF(OR(K10='[1]Tabla Impacto'!$C$14,K10='[1]Tabla Impacto'!$D$14),"Mayor",IF(OR(K10='[1]Tabla Impacto'!$C$15,K10='[1]Tabla Impacto'!$D$15),"Catastrófico","")))))</f>
        <v>Catastrófico</v>
      </c>
      <c r="M10" s="13">
        <f>IF(L10="","",IF(L10="Leve",0.2,IF(L10="Menor",0.4,IF(L10="Moderado",0.6,IF(L10="Mayor",0.8,IF(L10="Catastrófico",1,))))))</f>
        <v>1</v>
      </c>
      <c r="N10" s="15" t="str">
        <f>IF(OR(AND(H10="Muy Baja",L10="Leve"),AND(H10="Muy Baja",L10="Menor"),AND(H10="Baja",L10="Leve")),"Bajo",IF(OR(AND(H10="Muy baja",L10="Moderado"),AND(H10="Baja",L10="Menor"),AND(H10="Baja",L10="Moderado"),AND(H10="Media",L10="Leve"),AND(H10="Media",L10="Menor"),AND(H10="Media",L10="Moderado"),AND(H10="Alta",L10="Leve"),AND(H10="Alta",L10="Menor")),"Moderado",IF(OR(AND(H10="Muy Baja",L10="Mayor"),AND(H10="Baja",L10="Mayor"),AND(H10="Media",L10="Mayor"),AND(H10="Alta",L10="Moderado"),AND(H10="Alta",L10="Mayor"),AND(H10="Muy Alta",L10="Leve"),AND(H10="Muy Alta",L10="Menor"),AND(H10="Muy Alta",L10="Moderado"),AND(H10="Muy Alta",L10="Mayor")),"Alto",IF(OR(AND(H10="Muy Baja",L10="Catastrófico"),AND(H10="Baja",L10="Catastrófico"),AND(H10="Media",L10="Catastrófico"),AND(H10="Alta",L10="Catastrófico"),AND(H10="Muy Alta",L10="Catastrófico")),"Extremo",""))))</f>
        <v>Extremo</v>
      </c>
      <c r="O10" s="16">
        <v>1</v>
      </c>
      <c r="P10" s="17" t="s">
        <v>51</v>
      </c>
      <c r="Q10" s="18" t="str">
        <f>IF(OR(R10="Preventivo",R10="Detectivo"),"Probabilidad",IF(R10="Correctivo","Impacto",""))</f>
        <v>Probabilidad</v>
      </c>
      <c r="R10" s="19" t="s">
        <v>52</v>
      </c>
      <c r="S10" s="19" t="s">
        <v>53</v>
      </c>
      <c r="T10" s="20" t="str">
        <f>IF(AND(R10="Preventivo",S10="Automático"),"50%",IF(AND(R10="Preventivo",S10="Manual"),"40%",IF(AND(R10="Detectivo",S10="Automático"),"40%",IF(AND(R10="Detectivo",S10="Manual"),"30%",IF(AND(R10="Correctivo",S10="Automático"),"35%",IF(AND(R10="Correctivo",S10="Manual"),"25%",""))))))</f>
        <v>40%</v>
      </c>
      <c r="U10" s="19" t="s">
        <v>54</v>
      </c>
      <c r="V10" s="19" t="s">
        <v>55</v>
      </c>
      <c r="W10" s="19" t="s">
        <v>56</v>
      </c>
      <c r="X10" s="21">
        <f>IFERROR(IF(Q10="Probabilidad",(I10-(+I10*T10)),IF(Q10="Impacto",I10,"")),"")</f>
        <v>0.48</v>
      </c>
      <c r="Y10" s="22" t="str">
        <f>IFERROR(IF(X10="","",IF(X10&lt;=0.2,"Muy Baja",IF(X10&lt;=0.4,"Baja",IF(X10&lt;=0.6,"Media",IF(X10&lt;=0.8,"Alta","Muy Alta"))))),"")</f>
        <v>Media</v>
      </c>
      <c r="Z10" s="23">
        <f>+X10</f>
        <v>0.48</v>
      </c>
      <c r="AA10" s="22" t="str">
        <f>IFERROR(IF(AB10="","",IF(AB10&lt;=0.2,"Leve",IF(AB10&lt;=0.4,"Menor",IF(AB10&lt;=0.6,"Moderado",IF(AB10&lt;=0.8,"Mayor","Catastrófico"))))),"")</f>
        <v>Catastrófico</v>
      </c>
      <c r="AB10" s="23">
        <f>IFERROR(IF(Q10="Impacto",(M10-(+M10*T10)),IF(Q10="Probabilidad",M10,"")),"")</f>
        <v>1</v>
      </c>
      <c r="AC10" s="24" t="str">
        <f>IFERROR(IF(OR(AND(Y10="Muy Baja",AA10="Leve"),AND(Y10="Muy Baja",AA10="Menor"),AND(Y10="Baja",AA10="Leve")),"Bajo",IF(OR(AND(Y10="Muy baja",AA10="Moderado"),AND(Y10="Baja",AA10="Menor"),AND(Y10="Baja",AA10="Moderado"),AND(Y10="Media",AA10="Leve"),AND(Y10="Media",AA10="Menor"),AND(Y10="Media",AA10="Moderado"),AND(Y10="Alta",AA10="Leve"),AND(Y10="Alta",AA10="Menor")),"Moderado",IF(OR(AND(Y10="Muy Baja",AA10="Mayor"),AND(Y10="Baja",AA10="Mayor"),AND(Y10="Media",AA10="Mayor"),AND(Y10="Alta",AA10="Moderado"),AND(Y10="Alta",AA10="Mayor"),AND(Y10="Muy Alta",AA10="Leve"),AND(Y10="Muy Alta",AA10="Menor"),AND(Y10="Muy Alta",AA10="Moderado"),AND(Y10="Muy Alta",AA10="Mayor")),"Alto",IF(OR(AND(Y10="Muy Baja",AA10="Catastrófico"),AND(Y10="Baja",AA10="Catastrófico"),AND(Y10="Media",AA10="Catastrófico"),AND(Y10="Alta",AA10="Catastrófico"),AND(Y10="Muy Alta",AA10="Catastrófico")),"Extremo","")))),"")</f>
        <v>Extremo</v>
      </c>
      <c r="AD10" s="25" t="s">
        <v>57</v>
      </c>
      <c r="AE10" s="26" t="s">
        <v>58</v>
      </c>
      <c r="AF10" s="26" t="s">
        <v>59</v>
      </c>
      <c r="AG10" s="27">
        <v>44864</v>
      </c>
      <c r="AH10" s="28">
        <f>+I10-(I10*T10)</f>
        <v>0.48</v>
      </c>
      <c r="AI10" s="29"/>
      <c r="AJ10" s="30" t="s">
        <v>60</v>
      </c>
      <c r="AK10" s="31"/>
      <c r="AL10" s="31"/>
      <c r="AM10" s="31"/>
      <c r="AN10" s="31"/>
      <c r="AO10" s="31"/>
      <c r="AP10" s="31"/>
      <c r="AQ10" s="31"/>
      <c r="AR10" s="31"/>
      <c r="AS10" s="31"/>
      <c r="AT10" s="31"/>
      <c r="AU10" s="31"/>
      <c r="AV10" s="31"/>
      <c r="AW10" s="31"/>
      <c r="AX10" s="31"/>
      <c r="AY10" s="31"/>
      <c r="AZ10" s="31"/>
      <c r="BA10" s="31"/>
      <c r="BB10" s="31"/>
      <c r="BC10" s="31"/>
      <c r="BD10" s="31"/>
      <c r="BE10" s="31"/>
      <c r="BF10" s="31"/>
      <c r="BG10" s="31"/>
      <c r="BH10" s="31"/>
      <c r="BI10" s="31"/>
      <c r="BJ10" s="31"/>
      <c r="BK10" s="31"/>
      <c r="BL10" s="31"/>
      <c r="BM10" s="31"/>
      <c r="BN10" s="31"/>
      <c r="BO10" s="31"/>
      <c r="BP10" s="31"/>
    </row>
    <row r="11" spans="1:68" ht="202.5" customHeight="1" x14ac:dyDescent="0.3">
      <c r="A11" s="121"/>
      <c r="B11" s="122" t="s">
        <v>61</v>
      </c>
      <c r="C11" s="122" t="s">
        <v>62</v>
      </c>
      <c r="D11" s="122" t="s">
        <v>63</v>
      </c>
      <c r="E11" s="134" t="s">
        <v>64</v>
      </c>
      <c r="F11" s="122" t="s">
        <v>65</v>
      </c>
      <c r="G11" s="124">
        <v>2</v>
      </c>
      <c r="H11" s="116" t="str">
        <f>IF(G11&lt;=0,"",IF(G11&lt;=2,"Muy Baja",IF(G11&lt;=24,"Baja",IF(G11&lt;=500,"Media",IF(G11&lt;=5000,"Alta","Muy Alta")))))</f>
        <v>Muy Baja</v>
      </c>
      <c r="I11" s="114">
        <f>IF(H11="","",IF(H11="Muy Baja",0.2,IF(H11="Baja",0.4,IF(H11="Media",0.6,IF(H11="Alta",0.8,IF(H11="Muy Alta",1,))))))</f>
        <v>0.2</v>
      </c>
      <c r="J11" s="112" t="s">
        <v>66</v>
      </c>
      <c r="K11" s="136" t="str">
        <f>IF(NOT(ISERROR(MATCH(J11,'[1]Tabla Impacto'!$B$221:$B$223,0))),'[1]Tabla Impacto'!$F$223&amp;"Por favor no seleccionar los criterios de impacto(Afectación Económica o presupuestal y Pérdida Reputacional)",J11)</f>
        <v xml:space="preserve">     Entre 100 y 500 SMLMV </v>
      </c>
      <c r="L11" s="116" t="str">
        <f>IF(OR(K11='[1]Tabla Impacto'!$C$11,K11='[1]Tabla Impacto'!$D$11),"Leve",IF(OR(K11='[1]Tabla Impacto'!$C$12,K11='[1]Tabla Impacto'!$D$12),"Menor",IF(OR(K11='[1]Tabla Impacto'!$C$13,K11='[1]Tabla Impacto'!$D$13),"Moderado",IF(OR(K11='[1]Tabla Impacto'!$C$14,K11='[1]Tabla Impacto'!$D$14),"Mayor",IF(OR(K11='[1]Tabla Impacto'!$C$15,K11='[1]Tabla Impacto'!$D$15),"Catastrófico","")))))</f>
        <v>Mayor</v>
      </c>
      <c r="M11" s="114">
        <f>IF(L11="","",IF(L11="Leve",0.2,IF(L11="Menor",0.4,IF(L11="Moderado",0.6,IF(L11="Mayor",0.8,IF(L11="Catastrófico",1,))))))</f>
        <v>0.8</v>
      </c>
      <c r="N11" s="118" t="str">
        <f>IF(OR(AND(H11="Muy Baja",L11="Leve"),AND(H11="Muy Baja",L11="Menor"),AND(H11="Baja",L11="Leve")),"Bajo",IF(OR(AND(H11="Muy baja",L11="Moderado"),AND(H11="Baja",L11="Menor"),AND(H11="Baja",L11="Moderado"),AND(H11="Media",L11="Leve"),AND(H11="Media",L11="Menor"),AND(H11="Media",L11="Moderado"),AND(H11="Alta",L11="Leve"),AND(H11="Alta",L11="Menor")),"Moderado",IF(OR(AND(H11="Muy Baja",L11="Mayor"),AND(H11="Baja",L11="Mayor"),AND(H11="Media",L11="Mayor"),AND(H11="Alta",L11="Moderado"),AND(H11="Alta",L11="Mayor"),AND(H11="Muy Alta",L11="Leve"),AND(H11="Muy Alta",L11="Menor"),AND(H11="Muy Alta",L11="Moderado"),AND(H11="Muy Alta",L11="Mayor")),"Alto",IF(OR(AND(H11="Muy Baja",L11="Catastrófico"),AND(H11="Baja",L11="Catastrófico"),AND(H11="Media",L11="Catastrófico"),AND(H11="Alta",L11="Catastrófico"),AND(H11="Muy Alta",L11="Catastrófico")),"Extremo",""))))</f>
        <v>Alto</v>
      </c>
      <c r="O11" s="46">
        <v>1</v>
      </c>
      <c r="P11" s="17" t="s">
        <v>67</v>
      </c>
      <c r="Q11" s="18" t="str">
        <f>IF(OR(R11="Preventivo",R11="Detectivo"),"Probabilidad",IF(R11="Correctivo","Impacto",""))</f>
        <v>Probabilidad</v>
      </c>
      <c r="R11" s="19" t="s">
        <v>52</v>
      </c>
      <c r="S11" s="19" t="s">
        <v>68</v>
      </c>
      <c r="T11" s="20" t="str">
        <f>IF(AND(R11="Preventivo",S11="Automático"),"50%",IF(AND(R11="Preventivo",S11="Manual"),"40%",IF(AND(R11="Detectivo",S11="Automático"),"40%",IF(AND(R11="Detectivo",S11="Manual"),"30%",IF(AND(R11="Correctivo",S11="Automático"),"35%",IF(AND(R11="Correctivo",S11="Manual"),"25%",""))))))</f>
        <v>30%</v>
      </c>
      <c r="U11" s="19" t="s">
        <v>69</v>
      </c>
      <c r="V11" s="19" t="s">
        <v>70</v>
      </c>
      <c r="W11" s="19" t="s">
        <v>71</v>
      </c>
      <c r="X11" s="38">
        <f>IFERROR(IF(Q11="Probabilidad",(I11-(+I11*T11)),IF(Q11="Impacto",I11,"")),"")</f>
        <v>0.14000000000000001</v>
      </c>
      <c r="Y11" s="22" t="str">
        <f>IFERROR(IF(X11="","",IF(X11&lt;=0.2,"Muy Baja",IF(X11&lt;=0.4,"Baja",IF(X11&lt;=0.6,"Media",IF(X11&lt;=0.8,"Alta","Muy Alta"))))),"")</f>
        <v>Muy Baja</v>
      </c>
      <c r="Z11" s="23">
        <f>+X11</f>
        <v>0.14000000000000001</v>
      </c>
      <c r="AA11" s="22" t="str">
        <f>IFERROR(IF(AB11="","",IF(AB11&lt;=0.2,"Leve",IF(AB11&lt;=0.4,"Menor",IF(AB11&lt;=0.6,"Moderado",IF(AB11&lt;=0.8,"Mayor","Catastrófico"))))),"")</f>
        <v>Mayor</v>
      </c>
      <c r="AB11" s="23">
        <f>IFERROR(IF(Q11="Impacto",(M11-(+M11*T11)),IF(Q11="Probabilidad",M11,"")),"")</f>
        <v>0.8</v>
      </c>
      <c r="AC11" s="24" t="str">
        <f>IFERROR(IF(OR(AND(Y11="Muy Baja",AA11="Leve"),AND(Y11="Muy Baja",AA11="Menor"),AND(Y11="Baja",AA11="Leve")),"Bajo",IF(OR(AND(Y11="Muy baja",AA11="Moderado"),AND(Y11="Baja",AA11="Menor"),AND(Y11="Baja",AA11="Moderado"),AND(Y11="Media",AA11="Leve"),AND(Y11="Media",AA11="Menor"),AND(Y11="Media",AA11="Moderado"),AND(Y11="Alta",AA11="Leve"),AND(Y11="Alta",AA11="Menor")),"Moderado",IF(OR(AND(Y11="Muy Baja",AA11="Mayor"),AND(Y11="Baja",AA11="Mayor"),AND(Y11="Media",AA11="Mayor"),AND(Y11="Alta",AA11="Moderado"),AND(Y11="Alta",AA11="Mayor"),AND(Y11="Muy Alta",AA11="Leve"),AND(Y11="Muy Alta",AA11="Menor"),AND(Y11="Muy Alta",AA11="Moderado"),AND(Y11="Muy Alta",AA11="Mayor")),"Alto",IF(OR(AND(Y11="Muy Baja",AA11="Catastrófico"),AND(Y11="Baja",AA11="Catastrófico"),AND(Y11="Media",AA11="Catastrófico"),AND(Y11="Alta",AA11="Catastrófico"),AND(Y11="Muy Alta",AA11="Catastrófico")),"Extremo","")))),"")</f>
        <v>Alto</v>
      </c>
      <c r="AD11" s="33" t="s">
        <v>57</v>
      </c>
      <c r="AE11" s="47" t="s">
        <v>72</v>
      </c>
      <c r="AF11" s="47" t="s">
        <v>73</v>
      </c>
      <c r="AG11" s="48">
        <v>44798</v>
      </c>
      <c r="AH11" s="28">
        <f>+I10-(I10*T10)</f>
        <v>0.48</v>
      </c>
      <c r="AI11" s="49"/>
      <c r="AJ11" s="50" t="s">
        <v>60</v>
      </c>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row>
    <row r="12" spans="1:68" ht="191.25" customHeight="1" x14ac:dyDescent="0.3">
      <c r="A12" s="121"/>
      <c r="B12" s="123"/>
      <c r="C12" s="123"/>
      <c r="D12" s="123"/>
      <c r="E12" s="135"/>
      <c r="F12" s="123"/>
      <c r="G12" s="125"/>
      <c r="H12" s="117"/>
      <c r="I12" s="115"/>
      <c r="J12" s="113"/>
      <c r="K12" s="137">
        <f>IF(NOT(ISERROR(MATCH(J12,_xlfn.ANCHORARRAY(E14),0))),#REF!&amp;"Por favor no seleccionar los criterios de impacto",J12)</f>
        <v>0</v>
      </c>
      <c r="L12" s="117"/>
      <c r="M12" s="115"/>
      <c r="N12" s="119"/>
      <c r="O12" s="46">
        <v>2</v>
      </c>
      <c r="P12" s="17" t="s">
        <v>74</v>
      </c>
      <c r="Q12" s="18" t="str">
        <f>IF(OR(R12="Preventivo",R12="Detectivo"),"Probabilidad",IF(R12="Correctivo","Impacto",""))</f>
        <v>Probabilidad</v>
      </c>
      <c r="R12" s="19" t="s">
        <v>52</v>
      </c>
      <c r="S12" s="19" t="s">
        <v>68</v>
      </c>
      <c r="T12" s="20" t="str">
        <f t="shared" ref="T12:T14" si="0">IF(AND(R12="Preventivo",S12="Automático"),"50%",IF(AND(R12="Preventivo",S12="Manual"),"40%",IF(AND(R12="Detectivo",S12="Automático"),"40%",IF(AND(R12="Detectivo",S12="Manual"),"30%",IF(AND(R12="Correctivo",S12="Automático"),"35%",IF(AND(R12="Correctivo",S12="Manual"),"25%",""))))))</f>
        <v>30%</v>
      </c>
      <c r="U12" s="19" t="s">
        <v>69</v>
      </c>
      <c r="V12" s="19" t="s">
        <v>70</v>
      </c>
      <c r="W12" s="19" t="s">
        <v>71</v>
      </c>
      <c r="X12" s="38">
        <f>IFERROR(IF(AND(Q11="Probabilidad",Q12="Probabilidad"),(Z11-(+Z11*T12)),IF(Q12="Probabilidad",(I11-(+I11*T12)),IF(Q12="Impacto",Z11,""))),"")</f>
        <v>9.8000000000000004E-2</v>
      </c>
      <c r="Y12" s="22" t="str">
        <f t="shared" ref="Y12" si="1">IFERROR(IF(X12="","",IF(X12&lt;=0.2,"Muy Baja",IF(X12&lt;=0.4,"Baja",IF(X12&lt;=0.6,"Media",IF(X12&lt;=0.8,"Alta","Muy Alta"))))),"")</f>
        <v>Muy Baja</v>
      </c>
      <c r="Z12" s="23">
        <f t="shared" ref="Z12" si="2">+X12</f>
        <v>9.8000000000000004E-2</v>
      </c>
      <c r="AA12" s="22" t="str">
        <f t="shared" ref="AA12" si="3">IFERROR(IF(AB12="","",IF(AB12&lt;=0.2,"Leve",IF(AB12&lt;=0.4,"Menor",IF(AB12&lt;=0.6,"Moderado",IF(AB12&lt;=0.8,"Mayor","Catastrófico"))))),"")</f>
        <v>Mayor</v>
      </c>
      <c r="AB12" s="23">
        <f>IFERROR(IF(AND(Q11="Impacto",Q12="Impacto"),(AB11-(+AB11*T12)),IF(Q12="Impacto",(M11-(+M11*T12)),IF(Q12="Probabilidad",AB11,""))),"")</f>
        <v>0.8</v>
      </c>
      <c r="AC12" s="24" t="str">
        <f t="shared" ref="AC12" si="4">IFERROR(IF(OR(AND(Y12="Muy Baja",AA12="Leve"),AND(Y12="Muy Baja",AA12="Menor"),AND(Y12="Baja",AA12="Leve")),"Bajo",IF(OR(AND(Y12="Muy baja",AA12="Moderado"),AND(Y12="Baja",AA12="Menor"),AND(Y12="Baja",AA12="Moderado"),AND(Y12="Media",AA12="Leve"),AND(Y12="Media",AA12="Menor"),AND(Y12="Media",AA12="Moderado"),AND(Y12="Alta",AA12="Leve"),AND(Y12="Alta",AA12="Menor")),"Moderado",IF(OR(AND(Y12="Muy Baja",AA12="Mayor"),AND(Y12="Baja",AA12="Mayor"),AND(Y12="Media",AA12="Mayor"),AND(Y12="Alta",AA12="Moderado"),AND(Y12="Alta",AA12="Mayor"),AND(Y12="Muy Alta",AA12="Leve"),AND(Y12="Muy Alta",AA12="Menor"),AND(Y12="Muy Alta",AA12="Moderado"),AND(Y12="Muy Alta",AA12="Mayor")),"Alto",IF(OR(AND(Y12="Muy Baja",AA12="Catastrófico"),AND(Y12="Baja",AA12="Catastrófico"),AND(Y12="Media",AA12="Catastrófico"),AND(Y12="Alta",AA12="Catastrófico"),AND(Y12="Muy Alta",AA12="Catastrófico")),"Extremo","")))),"")</f>
        <v>Alto</v>
      </c>
      <c r="AD12" s="33" t="s">
        <v>57</v>
      </c>
      <c r="AE12" s="51" t="s">
        <v>75</v>
      </c>
      <c r="AF12" s="51" t="s">
        <v>73</v>
      </c>
      <c r="AG12" s="52">
        <v>44798</v>
      </c>
      <c r="AH12" s="52"/>
      <c r="AI12" s="53"/>
      <c r="AJ12" s="54"/>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row>
    <row r="13" spans="1:68" ht="280.5" customHeight="1" x14ac:dyDescent="0.3">
      <c r="A13" s="121"/>
      <c r="B13" s="9" t="s">
        <v>61</v>
      </c>
      <c r="C13" s="9" t="s">
        <v>62</v>
      </c>
      <c r="D13" s="9" t="s">
        <v>76</v>
      </c>
      <c r="E13" s="10" t="s">
        <v>77</v>
      </c>
      <c r="F13" s="9" t="s">
        <v>65</v>
      </c>
      <c r="G13" s="11">
        <v>2</v>
      </c>
      <c r="H13" s="12" t="str">
        <f>IF(G13&lt;=0,"",IF(G13&lt;=2,"Muy Baja",IF(G13&lt;=24,"Baja",IF(G13&lt;=500,"Media",IF(G13&lt;=5000,"Alta","Muy Alta")))))</f>
        <v>Muy Baja</v>
      </c>
      <c r="I13" s="13">
        <f>IF(H13="","",IF(H13="Muy Baja",0.2,IF(H13="Baja",0.4,IF(H13="Media",0.6,IF(H13="Alta",0.8,IF(H13="Muy Alta",1,))))))</f>
        <v>0.2</v>
      </c>
      <c r="J13" s="14" t="s">
        <v>78</v>
      </c>
      <c r="K13" s="45" t="str">
        <f>IF(NOT(ISERROR(MATCH(J13,'[1]Tabla Impacto'!$B$221:$B$223,0))),'[1]Tabla Impacto'!$F$223&amp;"Por favor no seleccionar los criterios de impacto(Afectación Económica o presupuestal y Pérdida Reputacional)",J13)</f>
        <v xml:space="preserve">     Entre 10 y 50 SMLMV </v>
      </c>
      <c r="L13" s="12" t="str">
        <f>IF(OR(K13='[1]Tabla Impacto'!$C$11,K13='[1]Tabla Impacto'!$D$11),"Leve",IF(OR(K13='[1]Tabla Impacto'!$C$12,K13='[1]Tabla Impacto'!$D$12),"Menor",IF(OR(K13='[1]Tabla Impacto'!$C$13,K13='[1]Tabla Impacto'!$D$13),"Moderado",IF(OR(K13='[1]Tabla Impacto'!$C$14,K13='[1]Tabla Impacto'!$D$14),"Mayor",IF(OR(K13='[1]Tabla Impacto'!$C$15,K13='[1]Tabla Impacto'!$D$15),"Catastrófico","")))))</f>
        <v>Menor</v>
      </c>
      <c r="M13" s="13">
        <f>IF(L13="","",IF(L13="Leve",0.2,IF(L13="Menor",0.4,IF(L13="Moderado",0.6,IF(L13="Mayor",0.8,IF(L13="Catastrófico",1,))))))</f>
        <v>0.4</v>
      </c>
      <c r="N13" s="15" t="str">
        <f>IF(OR(AND(H13="Muy Baja",L13="Leve"),AND(H13="Muy Baja",L13="Menor"),AND(H13="Baja",L13="Leve")),"Bajo",IF(OR(AND(H13="Muy baja",L13="Moderado"),AND(H13="Baja",L13="Menor"),AND(H13="Baja",L13="Moderado"),AND(H13="Media",L13="Leve"),AND(H13="Media",L13="Menor"),AND(H13="Media",L13="Moderado"),AND(H13="Alta",L13="Leve"),AND(H13="Alta",L13="Menor")),"Moderado",IF(OR(AND(H13="Muy Baja",L13="Mayor"),AND(H13="Baja",L13="Mayor"),AND(H13="Media",L13="Mayor"),AND(H13="Alta",L13="Moderado"),AND(H13="Alta",L13="Mayor"),AND(H13="Muy Alta",L13="Leve"),AND(H13="Muy Alta",L13="Menor"),AND(H13="Muy Alta",L13="Moderado"),AND(H13="Muy Alta",L13="Mayor")),"Alto",IF(OR(AND(H13="Muy Baja",L13="Catastrófico"),AND(H13="Baja",L13="Catastrófico"),AND(H13="Media",L13="Catastrófico"),AND(H13="Alta",L13="Catastrófico"),AND(H13="Muy Alta",L13="Catastrófico")),"Extremo",""))))</f>
        <v>Bajo</v>
      </c>
      <c r="O13" s="16">
        <v>1</v>
      </c>
      <c r="P13" s="17" t="s">
        <v>79</v>
      </c>
      <c r="Q13" s="18" t="s">
        <v>80</v>
      </c>
      <c r="R13" s="19" t="s">
        <v>81</v>
      </c>
      <c r="S13" s="19" t="s">
        <v>53</v>
      </c>
      <c r="T13" s="20" t="str">
        <f t="shared" si="0"/>
        <v>50%</v>
      </c>
      <c r="U13" s="19" t="s">
        <v>69</v>
      </c>
      <c r="V13" s="19" t="s">
        <v>55</v>
      </c>
      <c r="W13" s="19" t="s">
        <v>71</v>
      </c>
      <c r="X13" s="21">
        <f>IFERROR(IF(Q13="Probabilidad",(I13-(+I13*T13)),IF(Q13="Impacto",I13,"")),"")</f>
        <v>0.1</v>
      </c>
      <c r="Y13" s="22" t="str">
        <f>IFERROR(IF(X13="","",IF(X13&lt;=0.2,"Muy Baja",IF(X13&lt;=0.4,"Baja",IF(X13&lt;=0.6,"Media",IF(X13&lt;=0.8,"Alta","Muy Alta"))))),"")</f>
        <v>Muy Baja</v>
      </c>
      <c r="Z13" s="23">
        <f>+X13</f>
        <v>0.1</v>
      </c>
      <c r="AA13" s="22" t="str">
        <f>IFERROR(IF(AB13="","",IF(AB13&lt;=0.2,"Leve",IF(AB13&lt;=0.4,"Menor",IF(AB13&lt;=0.6,"Moderado",IF(AB13&lt;=0.8,"Mayor","Catastrófico"))))),"")</f>
        <v>Menor</v>
      </c>
      <c r="AB13" s="23">
        <f>IFERROR(IF(Q13="Impacto",(M13-(+M13*T13)),IF(Q13="Probabilidad",M13,"")),"")</f>
        <v>0.4</v>
      </c>
      <c r="AC13" s="24" t="str">
        <f>IFERROR(IF(OR(AND(Y13="Muy Baja",AA13="Leve"),AND(Y13="Muy Baja",AA13="Menor"),AND(Y13="Baja",AA13="Leve")),"Bajo",IF(OR(AND(Y13="Muy baja",AA13="Moderado"),AND(Y13="Baja",AA13="Menor"),AND(Y13="Baja",AA13="Moderado"),AND(Y13="Media",AA13="Leve"),AND(Y13="Media",AA13="Menor"),AND(Y13="Media",AA13="Moderado"),AND(Y13="Alta",AA13="Leve"),AND(Y13="Alta",AA13="Menor")),"Moderado",IF(OR(AND(Y13="Muy Baja",AA13="Mayor"),AND(Y13="Baja",AA13="Mayor"),AND(Y13="Media",AA13="Mayor"),AND(Y13="Alta",AA13="Moderado"),AND(Y13="Alta",AA13="Mayor"),AND(Y13="Muy Alta",AA13="Leve"),AND(Y13="Muy Alta",AA13="Menor"),AND(Y13="Muy Alta",AA13="Moderado"),AND(Y13="Muy Alta",AA13="Mayor")),"Alto",IF(OR(AND(Y13="Muy Baja",AA13="Catastrófico"),AND(Y13="Baja",AA13="Catastrófico"),AND(Y13="Media",AA13="Catastrófico"),AND(Y13="Alta",AA13="Catastrófico"),AND(Y13="Muy Alta",AA13="Catastrófico")),"Extremo","")))),"")</f>
        <v>Bajo</v>
      </c>
      <c r="AD13" s="33" t="s">
        <v>82</v>
      </c>
      <c r="AE13" s="51" t="s">
        <v>75</v>
      </c>
      <c r="AF13" s="26" t="s">
        <v>59</v>
      </c>
      <c r="AG13" s="56">
        <v>44798</v>
      </c>
      <c r="AH13" s="28">
        <f>+I11-(I11*T11)</f>
        <v>0.14000000000000001</v>
      </c>
      <c r="AI13" s="29"/>
      <c r="AJ13" s="30" t="s">
        <v>60</v>
      </c>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row>
    <row r="14" spans="1:68" ht="151.5" customHeight="1" x14ac:dyDescent="0.3">
      <c r="A14" s="121"/>
      <c r="B14" s="9" t="s">
        <v>61</v>
      </c>
      <c r="C14" s="9" t="s">
        <v>62</v>
      </c>
      <c r="D14" s="9" t="s">
        <v>83</v>
      </c>
      <c r="E14" s="10" t="s">
        <v>84</v>
      </c>
      <c r="F14" s="9" t="s">
        <v>65</v>
      </c>
      <c r="G14" s="11">
        <v>14</v>
      </c>
      <c r="H14" s="12" t="str">
        <f>IF(G14&lt;=0,"",IF(G14&lt;=2,"Muy Baja",IF(G14&lt;=24,"Baja",IF(G14&lt;=500,"Media",IF(G14&lt;=5000,"Alta","Muy Alta")))))</f>
        <v>Baja</v>
      </c>
      <c r="I14" s="13">
        <f>IF(H14="","",IF(H14="Muy Baja",0.2,IF(H14="Baja",0.4,IF(H14="Media",0.6,IF(H14="Alta",0.8,IF(H14="Muy Alta",1,))))))</f>
        <v>0.4</v>
      </c>
      <c r="J14" s="14" t="s">
        <v>66</v>
      </c>
      <c r="K14" s="45" t="str">
        <f>IF(NOT(ISERROR(MATCH(J14,'[1]Tabla Impacto'!$B$221:$B$223,0))),'[1]Tabla Impacto'!$F$223&amp;"Por favor no seleccionar los criterios de impacto(Afectación Económica o presupuestal y Pérdida Reputacional)",J14)</f>
        <v xml:space="preserve">     Entre 100 y 500 SMLMV </v>
      </c>
      <c r="L14" s="12" t="str">
        <f>IF(OR(K14='[1]Tabla Impacto'!$C$11,K14='[1]Tabla Impacto'!$D$11),"Leve",IF(OR(K14='[1]Tabla Impacto'!$C$12,K14='[1]Tabla Impacto'!$D$12),"Menor",IF(OR(K14='[1]Tabla Impacto'!$C$13,K14='[1]Tabla Impacto'!$D$13),"Moderado",IF(OR(K14='[1]Tabla Impacto'!$C$14,K14='[1]Tabla Impacto'!$D$14),"Mayor",IF(OR(K14='[1]Tabla Impacto'!$C$15,K14='[1]Tabla Impacto'!$D$15),"Catastrófico","")))))</f>
        <v>Mayor</v>
      </c>
      <c r="M14" s="13">
        <f>IF(L14="","",IF(L14="Leve",0.2,IF(L14="Menor",0.4,IF(L14="Moderado",0.6,IF(L14="Mayor",0.8,IF(L14="Catastrófico",1,))))))</f>
        <v>0.8</v>
      </c>
      <c r="N14" s="15" t="str">
        <f>IF(OR(AND(H14="Muy Baja",L14="Leve"),AND(H14="Muy Baja",L14="Menor"),AND(H14="Baja",L14="Leve")),"Bajo",IF(OR(AND(H14="Muy baja",L14="Moderado"),AND(H14="Baja",L14="Menor"),AND(H14="Baja",L14="Moderado"),AND(H14="Media",L14="Leve"),AND(H14="Media",L14="Menor"),AND(H14="Media",L14="Moderado"),AND(H14="Alta",L14="Leve"),AND(H14="Alta",L14="Menor")),"Moderado",IF(OR(AND(H14="Muy Baja",L14="Mayor"),AND(H14="Baja",L14="Mayor"),AND(H14="Media",L14="Mayor"),AND(H14="Alta",L14="Moderado"),AND(H14="Alta",L14="Mayor"),AND(H14="Muy Alta",L14="Leve"),AND(H14="Muy Alta",L14="Menor"),AND(H14="Muy Alta",L14="Moderado"),AND(H14="Muy Alta",L14="Mayor")),"Alto",IF(OR(AND(H14="Muy Baja",L14="Catastrófico"),AND(H14="Baja",L14="Catastrófico"),AND(H14="Media",L14="Catastrófico"),AND(H14="Alta",L14="Catastrófico"),AND(H14="Muy Alta",L14="Catastrófico")),"Extremo",""))))</f>
        <v>Alto</v>
      </c>
      <c r="O14" s="46">
        <v>1</v>
      </c>
      <c r="P14" s="17" t="s">
        <v>85</v>
      </c>
      <c r="Q14" s="18" t="s">
        <v>80</v>
      </c>
      <c r="R14" s="19" t="s">
        <v>52</v>
      </c>
      <c r="S14" s="19" t="s">
        <v>53</v>
      </c>
      <c r="T14" s="20" t="str">
        <f t="shared" si="0"/>
        <v>40%</v>
      </c>
      <c r="U14" s="19" t="s">
        <v>69</v>
      </c>
      <c r="V14" s="19" t="s">
        <v>55</v>
      </c>
      <c r="W14" s="19" t="s">
        <v>71</v>
      </c>
      <c r="X14" s="21">
        <f>IFERROR(IF(Q14="Probabilidad",(I14-(+I14*T14)),IF(Q14="Impacto",I14,"")),"")</f>
        <v>0.24</v>
      </c>
      <c r="Y14" s="22" t="str">
        <f>IFERROR(IF(X14="","",IF(X14&lt;=0.2,"Muy Baja",IF(X14&lt;=0.4,"Baja",IF(X14&lt;=0.6,"Media",IF(X14&lt;=0.8,"Alta","Muy Alta"))))),"")</f>
        <v>Baja</v>
      </c>
      <c r="Z14" s="23">
        <f>+X14</f>
        <v>0.24</v>
      </c>
      <c r="AA14" s="22" t="str">
        <f>IFERROR(IF(AB14="","",IF(AB14&lt;=0.2,"Leve",IF(AB14&lt;=0.4,"Menor",IF(AB14&lt;=0.6,"Moderado",IF(AB14&lt;=0.8,"Mayor","Catastrófico"))))),"")</f>
        <v>Mayor</v>
      </c>
      <c r="AB14" s="23">
        <f>IFERROR(IF(Q14="Impacto",(M14-(+M14*T14)),IF(Q14="Probabilidad",M14,"")),"")</f>
        <v>0.8</v>
      </c>
      <c r="AC14" s="24" t="str">
        <f>IFERROR(IF(OR(AND(Y14="Muy Baja",AA14="Leve"),AND(Y14="Muy Baja",AA14="Menor"),AND(Y14="Baja",AA14="Leve")),"Bajo",IF(OR(AND(Y14="Muy baja",AA14="Moderado"),AND(Y14="Baja",AA14="Menor"),AND(Y14="Baja",AA14="Moderado"),AND(Y14="Media",AA14="Leve"),AND(Y14="Media",AA14="Menor"),AND(Y14="Media",AA14="Moderado"),AND(Y14="Alta",AA14="Leve"),AND(Y14="Alta",AA14="Menor")),"Moderado",IF(OR(AND(Y14="Muy Baja",AA14="Mayor"),AND(Y14="Baja",AA14="Mayor"),AND(Y14="Media",AA14="Mayor"),AND(Y14="Alta",AA14="Moderado"),AND(Y14="Alta",AA14="Mayor"),AND(Y14="Muy Alta",AA14="Leve"),AND(Y14="Muy Alta",AA14="Menor"),AND(Y14="Muy Alta",AA14="Moderado"),AND(Y14="Muy Alta",AA14="Mayor")),"Alto",IF(OR(AND(Y14="Muy Baja",AA14="Catastrófico"),AND(Y14="Baja",AA14="Catastrófico"),AND(Y14="Media",AA14="Catastrófico"),AND(Y14="Alta",AA14="Catastrófico"),AND(Y14="Muy Alta",AA14="Catastrófico")),"Extremo","")))),"")</f>
        <v>Alto</v>
      </c>
      <c r="AD14" s="33" t="s">
        <v>82</v>
      </c>
      <c r="AE14" s="26" t="s">
        <v>86</v>
      </c>
      <c r="AF14" s="26" t="s">
        <v>59</v>
      </c>
      <c r="AG14" s="56">
        <v>44798</v>
      </c>
      <c r="AH14" s="28">
        <f>+I13-(I13*T13)</f>
        <v>0.1</v>
      </c>
      <c r="AI14" s="29"/>
      <c r="AJ14" s="30" t="s">
        <v>60</v>
      </c>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row>
    <row r="15" spans="1:68" ht="151.5" customHeight="1" x14ac:dyDescent="0.3">
      <c r="A15" s="120" t="s">
        <v>192</v>
      </c>
      <c r="B15" s="122" t="s">
        <v>61</v>
      </c>
      <c r="C15" s="122" t="s">
        <v>93</v>
      </c>
      <c r="D15" s="122" t="s">
        <v>94</v>
      </c>
      <c r="E15" s="138" t="s">
        <v>95</v>
      </c>
      <c r="F15" s="122" t="s">
        <v>65</v>
      </c>
      <c r="G15" s="124">
        <v>12</v>
      </c>
      <c r="H15" s="116" t="str">
        <f>IF(G15&lt;=0,"",IF(G15&lt;=2,"Muy Baja",IF(G15&lt;=24,"Baja",IF(G15&lt;=500,"Media",IF(G15&lt;=5000,"Alta","Muy Alta")))))</f>
        <v>Baja</v>
      </c>
      <c r="I15" s="114">
        <f>IF(H15="","",IF(H15="Muy Baja",0.2,IF(H15="Baja",0.4,IF(H15="Media",0.6,IF(H15="Alta",0.8,IF(H15="Muy Alta",1,))))))</f>
        <v>0.4</v>
      </c>
      <c r="J15" s="112" t="s">
        <v>96</v>
      </c>
      <c r="K15" s="136" t="str">
        <f>IF(NOT(ISERROR(MATCH(J15,'[2]Tabla Impacto'!$B$221:$B$223,0))),'[2]Tabla Impacto'!$F$223&amp;"Por favor no seleccionar los criterios de impacto(Afectación Económica o presupuestal y Pérdida Reputacional)",J15)</f>
        <v xml:space="preserve">     El riesgo afecta la imagen de la entidad internamente, de conocimiento general, nivel interno, de junta dircetiva y accionistas y/o de provedores</v>
      </c>
      <c r="L15" s="116" t="str">
        <f>IF(OR(K15='[2]Tabla Impacto'!$C$11,K15='[2]Tabla Impacto'!$D$11),"Leve",IF(OR(K15='[2]Tabla Impacto'!$C$12,K15='[2]Tabla Impacto'!$D$12),"Menor",IF(OR(K15='[2]Tabla Impacto'!$C$13,K15='[2]Tabla Impacto'!$D$13),"Moderado",IF(OR(K15='[2]Tabla Impacto'!$C$14,K15='[2]Tabla Impacto'!$D$14),"Mayor",IF(OR(K15='[2]Tabla Impacto'!$C$15,K15='[2]Tabla Impacto'!$D$15),"Catastrófico","")))))</f>
        <v>Menor</v>
      </c>
      <c r="M15" s="114">
        <f>IF(L15="","",IF(L15="Leve",0.2,IF(L15="Menor",0.4,IF(L15="Moderado",0.6,IF(L15="Mayor",0.8,IF(L15="Catastrófico",1,))))))</f>
        <v>0.4</v>
      </c>
      <c r="N15" s="118" t="str">
        <f>IF(OR(AND(H15="Muy Baja",L15="Leve"),AND(H15="Muy Baja",L15="Menor"),AND(H15="Baja",L15="Leve")),"Bajo",IF(OR(AND(H15="Muy baja",L15="Moderado"),AND(H15="Baja",L15="Menor"),AND(H15="Baja",L15="Moderado"),AND(H15="Media",L15="Leve"),AND(H15="Media",L15="Menor"),AND(H15="Media",L15="Moderado"),AND(H15="Alta",L15="Leve"),AND(H15="Alta",L15="Menor")),"Moderado",IF(OR(AND(H15="Muy Baja",L15="Mayor"),AND(H15="Baja",L15="Mayor"),AND(H15="Media",L15="Mayor"),AND(H15="Alta",L15="Moderado"),AND(H15="Alta",L15="Mayor"),AND(H15="Muy Alta",L15="Leve"),AND(H15="Muy Alta",L15="Menor"),AND(H15="Muy Alta",L15="Moderado"),AND(H15="Muy Alta",L15="Mayor")),"Alto",IF(OR(AND(H15="Muy Baja",L15="Catastrófico"),AND(H15="Baja",L15="Catastrófico"),AND(H15="Media",L15="Catastrófico"),AND(H15="Alta",L15="Catastrófico"),AND(H15="Muy Alta",L15="Catastrófico")),"Extremo",""))))</f>
        <v>Moderado</v>
      </c>
      <c r="O15" s="46">
        <v>1</v>
      </c>
      <c r="P15" s="17" t="s">
        <v>89</v>
      </c>
      <c r="Q15" s="18" t="str">
        <f>IF(OR(R15="Preventivo",R15="Detectivo"),"Probabilidad",IF(R15="Correctivo","Impacto",""))</f>
        <v>Probabilidad</v>
      </c>
      <c r="R15" s="19" t="s">
        <v>81</v>
      </c>
      <c r="S15" s="19" t="s">
        <v>68</v>
      </c>
      <c r="T15" s="20" t="str">
        <f>IF(AND(R15="Preventivo",S15="Automático"),"50%",IF(AND(R15="Preventivo",S15="Manual"),"40%",IF(AND(R15="Detectivo",S15="Automático"),"40%",IF(AND(R15="Detectivo",S15="Manual"),"30%",IF(AND(R15="Correctivo",S15="Automático"),"35%",IF(AND(R15="Correctivo",S15="Manual"),"25%",""))))))</f>
        <v>40%</v>
      </c>
      <c r="U15" s="19" t="s">
        <v>54</v>
      </c>
      <c r="V15" s="19" t="s">
        <v>55</v>
      </c>
      <c r="W15" s="19" t="s">
        <v>56</v>
      </c>
      <c r="X15" s="21">
        <f>IFERROR(IF(Q15="Probabilidad",(I15-(+I15*T15)),IF(Q15="Impacto",I15,"")),"")</f>
        <v>0.24</v>
      </c>
      <c r="Y15" s="22" t="str">
        <f>IFERROR(IF(X15="","",IF(X15&lt;=0.2,"Muy Baja",IF(X15&lt;=0.4,"Baja",IF(X15&lt;=0.6,"Media",IF(X15&lt;=0.8,"Alta","Muy Alta"))))),"")</f>
        <v>Baja</v>
      </c>
      <c r="Z15" s="23">
        <f>+X15</f>
        <v>0.24</v>
      </c>
      <c r="AA15" s="22" t="str">
        <f>IFERROR(IF(AB15="","",IF(AB15&lt;=0.2,"Leve",IF(AB15&lt;=0.4,"Menor",IF(AB15&lt;=0.6,"Moderado",IF(AB15&lt;=0.8,"Mayor","Catastrófico"))))),"")</f>
        <v>Menor</v>
      </c>
      <c r="AB15" s="23">
        <f>IFERROR(IF(Q15="Impacto",(M15-(+M15*T15)),IF(Q15="Probabilidad",M15,"")),"")</f>
        <v>0.4</v>
      </c>
      <c r="AC15" s="24" t="str">
        <f>IFERROR(IF(OR(AND(Y15="Muy Baja",AA15="Leve"),AND(Y15="Muy Baja",AA15="Menor"),AND(Y15="Baja",AA15="Leve")),"Bajo",IF(OR(AND(Y15="Muy baja",AA15="Moderado"),AND(Y15="Baja",AA15="Menor"),AND(Y15="Baja",AA15="Moderado"),AND(Y15="Media",AA15="Leve"),AND(Y15="Media",AA15="Menor"),AND(Y15="Media",AA15="Moderado"),AND(Y15="Alta",AA15="Leve"),AND(Y15="Alta",AA15="Menor")),"Moderado",IF(OR(AND(Y15="Muy Baja",AA15="Mayor"),AND(Y15="Baja",AA15="Mayor"),AND(Y15="Media",AA15="Mayor"),AND(Y15="Alta",AA15="Moderado"),AND(Y15="Alta",AA15="Mayor"),AND(Y15="Muy Alta",AA15="Leve"),AND(Y15="Muy Alta",AA15="Menor"),AND(Y15="Muy Alta",AA15="Moderado"),AND(Y15="Muy Alta",AA15="Mayor")),"Alto",IF(OR(AND(Y15="Muy Baja",AA15="Catastrófico"),AND(Y15="Baja",AA15="Catastrófico"),AND(Y15="Media",AA15="Catastrófico"),AND(Y15="Alta",AA15="Catastrófico"),AND(Y15="Muy Alta",AA15="Catastrófico")),"Extremo","")))),"")</f>
        <v>Moderado</v>
      </c>
      <c r="AD15" s="33" t="s">
        <v>57</v>
      </c>
      <c r="AE15" s="26" t="s">
        <v>90</v>
      </c>
      <c r="AF15" s="26" t="s">
        <v>91</v>
      </c>
      <c r="AG15" s="56">
        <v>44742</v>
      </c>
      <c r="AH15" s="70">
        <f>+I15-(I15*T15)</f>
        <v>0.24</v>
      </c>
      <c r="AI15" s="29"/>
      <c r="AJ15" s="30" t="s">
        <v>60</v>
      </c>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row>
    <row r="16" spans="1:68" ht="129.75" customHeight="1" x14ac:dyDescent="0.3">
      <c r="A16" s="121"/>
      <c r="B16" s="123"/>
      <c r="C16" s="123"/>
      <c r="D16" s="123"/>
      <c r="E16" s="139"/>
      <c r="F16" s="123"/>
      <c r="G16" s="125"/>
      <c r="H16" s="117"/>
      <c r="I16" s="115"/>
      <c r="J16" s="113"/>
      <c r="K16" s="137">
        <f>IF(NOT(ISERROR(MATCH(J16,_xlfn.ANCHORARRAY(E18),0))),#REF!&amp;"Por favor no seleccionar los criterios de impacto",J16)</f>
        <v>0</v>
      </c>
      <c r="L16" s="117"/>
      <c r="M16" s="115"/>
      <c r="N16" s="119"/>
      <c r="O16" s="46">
        <v>2</v>
      </c>
      <c r="P16" s="55" t="s">
        <v>92</v>
      </c>
      <c r="Q16" s="35" t="str">
        <f t="shared" ref="Q16" si="5">IF(OR(R16="Preventivo",R16="Detectivo"),"Probabilidad",IF(R16="Correctivo","Impacto",""))</f>
        <v/>
      </c>
      <c r="R16" s="36"/>
      <c r="S16" s="36"/>
      <c r="T16" s="37" t="str">
        <f t="shared" ref="T16" si="6">IF(AND(R16="Preventivo",S16="Automático"),"50%",IF(AND(R16="Preventivo",S16="Manual"),"40%",IF(AND(R16="Detectivo",S16="Automático"),"40%",IF(AND(R16="Detectivo",S16="Manual"),"30%",IF(AND(R16="Correctivo",S16="Automático"),"35%",IF(AND(R16="Correctivo",S16="Manual"),"25%",""))))))</f>
        <v/>
      </c>
      <c r="U16" s="36"/>
      <c r="V16" s="36"/>
      <c r="W16" s="36"/>
      <c r="X16" s="38" t="str">
        <f>IFERROR(IF(AND(#REF!="Probabilidad",Q16="Probabilidad"),(#REF!-(+#REF!*T16)),IF(AND(#REF!="Impacto",Q16="Probabilidad"),(#REF!-(+#REF!*T16)),IF(Q16="Impacto",#REF!,""))),"")</f>
        <v/>
      </c>
      <c r="Y16" s="39" t="str">
        <f t="shared" ref="Y16" si="7">IFERROR(IF(X16="","",IF(X16&lt;=0.2,"Muy Baja",IF(X16&lt;=0.4,"Baja",IF(X16&lt;=0.6,"Media",IF(X16&lt;=0.8,"Alta","Muy Alta"))))),"")</f>
        <v/>
      </c>
      <c r="Z16" s="40" t="str">
        <f t="shared" ref="Z16" si="8">+X16</f>
        <v/>
      </c>
      <c r="AA16" s="39" t="str">
        <f t="shared" ref="AA16" si="9">IFERROR(IF(AB16="","",IF(AB16&lt;=0.2,"Leve",IF(AB16&lt;=0.4,"Menor",IF(AB16&lt;=0.6,"Moderado",IF(AB16&lt;=0.8,"Mayor","Catastrófico"))))),"")</f>
        <v/>
      </c>
      <c r="AB16" s="40" t="str">
        <f>IFERROR(IF(AND(#REF!="Impacto",Q16="Impacto"),(#REF!-(+#REF!*T16)),IF(AND(#REF!="Probabilidad",Q16="Impacto"),(#REF!-(+#REF!*T16)),IF(Q16="Probabilidad",#REF!,""))),"")</f>
        <v/>
      </c>
      <c r="AC16" s="41" t="str">
        <f>IFERROR(IF(OR(AND(Y16="Muy Baja",AA16="Leve"),AND(Y16="Muy Baja",AA16="Menor"),AND(Y16="Baja",AA16="Leve")),"Bajo",IF(OR(AND(Y16="Muy baja",AA16="Moderado"),AND(Y16="Baja",AA16="Menor"),AND(Y16="Baja",AA16="Moderado"),AND(Y16="Media",AA16="Leve"),AND(Y16="Media",AA16="Menor"),AND(Y16="Media",AA16="Moderado"),AND(Y16="Alta",AA16="Leve"),AND(Y16="Alta",AA16="Menor")),"Moderado",IF(OR(AND(Y16="Muy Baja",AA16="Mayor"),AND(Y16="Baja",AA16="Mayor"),AND(Y16="Media",AA16="Mayor"),AND(Y16="Alta",AA16="Moderado"),AND(Y16="Alta",AA16="Mayor"),AND(Y16="Muy Alta",AA16="Leve"),AND(Y16="Muy Alta",AA16="Menor"),AND(Y16="Muy Alta",AA16="Moderado"),AND(Y16="Muy Alta",AA16="Mayor")),"Alto",IF(OR(AND(Y16="Muy Baja",AA16="Catastrófico"),AND(Y16="Baja",AA16="Catastrófico"),AND(Y16="Media",AA16="Catastrófico"),AND(Y16="Alta",AA16="Catastrófico"),AND(Y16="Muy Alta",AA16="Catastrófico")),"Extremo","")))),"")</f>
        <v/>
      </c>
      <c r="AD16" s="25"/>
      <c r="AE16" s="29"/>
      <c r="AF16" s="42"/>
      <c r="AG16" s="43"/>
      <c r="AH16" s="43"/>
      <c r="AI16" s="29"/>
      <c r="AJ16" s="42"/>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row>
    <row r="17" spans="1:68" s="32" customFormat="1" ht="86.25" customHeight="1" x14ac:dyDescent="0.25">
      <c r="A17" s="121"/>
      <c r="B17" s="122" t="s">
        <v>61</v>
      </c>
      <c r="C17" s="122" t="s">
        <v>97</v>
      </c>
      <c r="D17" s="122" t="s">
        <v>98</v>
      </c>
      <c r="E17" s="195" t="s">
        <v>99</v>
      </c>
      <c r="F17" s="122" t="s">
        <v>65</v>
      </c>
      <c r="G17" s="124">
        <v>12</v>
      </c>
      <c r="H17" s="116" t="str">
        <f>IF(G17&lt;=0,"",IF(G17&lt;=2,"Muy Baja",IF(G17&lt;=24,"Baja",IF(G17&lt;=500,"Media",IF(G17&lt;=5000,"Alta","Muy Alta")))))</f>
        <v>Baja</v>
      </c>
      <c r="I17" s="114">
        <f>IF(H17="","",IF(H17="Muy Baja",0.2,IF(H17="Baja",0.4,IF(H17="Media",0.6,IF(H17="Alta",0.8,IF(H17="Muy Alta",1,))))))</f>
        <v>0.4</v>
      </c>
      <c r="J17" s="112" t="s">
        <v>100</v>
      </c>
      <c r="K17" s="114" t="str">
        <f>IF(NOT(ISERROR(MATCH(J17,'[3]Tabla Impacto'!$B$221:$B$223,0))),'[3]Tabla Impacto'!$F$223&amp;"Por favor no seleccionar los criterios de impacto(Afectación Económica o presupuestal y Pérdida Reputacional)",J17)</f>
        <v xml:space="preserve">     El riesgo afecta la imagen de la entidad con algunos usuarios de relevancia frente al logro de los objetivos</v>
      </c>
      <c r="L17" s="116" t="str">
        <f>IF(OR(K17='[3]Tabla Impacto'!$C$11,K17='[3]Tabla Impacto'!$D$11),"Leve",IF(OR(K17='[3]Tabla Impacto'!$C$12,K17='[3]Tabla Impacto'!$D$12),"Menor",IF(OR(K17='[3]Tabla Impacto'!$C$13,K17='[3]Tabla Impacto'!$D$13),"Moderado",IF(OR(K17='[3]Tabla Impacto'!$C$14,K17='[3]Tabla Impacto'!$D$14),"Mayor",IF(OR(K17='[3]Tabla Impacto'!$C$15,K17='[3]Tabla Impacto'!$D$15),"Catastrófico","")))))</f>
        <v>Moderado</v>
      </c>
      <c r="M17" s="114">
        <f>IF(L17="","",IF(L17="Leve",0.2,IF(L17="Menor",0.4,IF(L17="Moderado",0.6,IF(L17="Mayor",0.8,IF(L17="Catastrófico",1,))))))</f>
        <v>0.6</v>
      </c>
      <c r="N17" s="118" t="str">
        <f>IF(OR(AND(H17="Muy Baja",L17="Leve"),AND(H17="Muy Baja",L17="Menor"),AND(H17="Baja",L17="Leve")),"Bajo",IF(OR(AND(H17="Muy baja",L17="Moderado"),AND(H17="Baja",L17="Menor"),AND(H17="Baja",L17="Moderado"),AND(H17="Media",L17="Leve"),AND(H17="Media",L17="Menor"),AND(H17="Media",L17="Moderado"),AND(H17="Alta",L17="Leve"),AND(H17="Alta",L17="Menor")),"Moderado",IF(OR(AND(H17="Muy Baja",L17="Mayor"),AND(H17="Baja",L17="Mayor"),AND(H17="Media",L17="Mayor"),AND(H17="Alta",L17="Moderado"),AND(H17="Alta",L17="Mayor"),AND(H17="Muy Alta",L17="Leve"),AND(H17="Muy Alta",L17="Menor"),AND(H17="Muy Alta",L17="Moderado"),AND(H17="Muy Alta",L17="Mayor")),"Alto",IF(OR(AND(H17="Muy Baja",L17="Catastrófico"),AND(H17="Baja",L17="Catastrófico"),AND(H17="Media",L17="Catastrófico"),AND(H17="Alta",L17="Catastrófico"),AND(H17="Muy Alta",L17="Catastrófico")),"Extremo",""))))</f>
        <v>Moderado</v>
      </c>
      <c r="O17" s="16">
        <v>1</v>
      </c>
      <c r="P17" s="17" t="s">
        <v>101</v>
      </c>
      <c r="Q17" s="18"/>
      <c r="R17" s="19" t="s">
        <v>81</v>
      </c>
      <c r="S17" s="19" t="s">
        <v>68</v>
      </c>
      <c r="T17" s="20" t="str">
        <f>IF(AND(R17="Preventivo",S17="Automático"),"50%",IF(AND(R17="Preventivo",S17="Manual"),"40%",IF(AND(R17="Detectivo",S17="Automático"),"40%",IF(AND(R17="Detectivo",S17="Manual"),"30%",IF(AND(R17="Correctivo",S17="Automático"),"35%",IF(AND(R17="Correctivo",S17="Manual"),"25%",""))))))</f>
        <v>40%</v>
      </c>
      <c r="U17" s="19" t="s">
        <v>54</v>
      </c>
      <c r="V17" s="19" t="s">
        <v>55</v>
      </c>
      <c r="W17" s="19" t="s">
        <v>56</v>
      </c>
      <c r="X17" s="21" t="str">
        <f>IFERROR(IF(Q17="Probabilidad",(I17-(+I17*T17)),IF(Q17="Impacto",I17,"")),"")</f>
        <v/>
      </c>
      <c r="Y17" s="22" t="str">
        <f>IFERROR(IF(X17="","",IF(X17&lt;=0.2,"Muy Baja",IF(X17&lt;=0.4,"Baja",IF(X17&lt;=0.6,"Media",IF(X17&lt;=0.8,"Alta","Muy Alta"))))),"")</f>
        <v/>
      </c>
      <c r="Z17" s="23" t="str">
        <f>+X17</f>
        <v/>
      </c>
      <c r="AA17" s="22" t="str">
        <f>IFERROR(IF(AB17="","",IF(AB17&lt;=0.2,"Leve",IF(AB17&lt;=0.4,"Menor",IF(AB17&lt;=0.6,"Moderado",IF(AB17&lt;=0.8,"Mayor","Catastrófico"))))),"")</f>
        <v/>
      </c>
      <c r="AB17" s="23" t="str">
        <f>IFERROR(IF(Q17="Impacto",(M17-(+M17*T17)),IF(Q17="Probabilidad",M17,"")),"")</f>
        <v/>
      </c>
      <c r="AC17" s="24" t="str">
        <f>IFERROR(IF(OR(AND(Y17="Muy Baja",AA17="Leve"),AND(Y17="Muy Baja",AA17="Menor"),AND(Y17="Baja",AA17="Leve")),"Bajo",IF(OR(AND(Y17="Muy baja",AA17="Moderado"),AND(Y17="Baja",AA17="Menor"),AND(Y17="Baja",AA17="Moderado"),AND(Y17="Media",AA17="Leve"),AND(Y17="Media",AA17="Menor"),AND(Y17="Media",AA17="Moderado"),AND(Y17="Alta",AA17="Leve"),AND(Y17="Alta",AA17="Menor")),"Moderado",IF(OR(AND(Y17="Muy Baja",AA17="Mayor"),AND(Y17="Baja",AA17="Mayor"),AND(Y17="Media",AA17="Mayor"),AND(Y17="Alta",AA17="Moderado"),AND(Y17="Alta",AA17="Mayor"),AND(Y17="Muy Alta",AA17="Leve"),AND(Y17="Muy Alta",AA17="Menor"),AND(Y17="Muy Alta",AA17="Moderado"),AND(Y17="Muy Alta",AA17="Mayor")),"Alto",IF(OR(AND(Y17="Muy Baja",AA17="Catastrófico"),AND(Y17="Baja",AA17="Catastrófico"),AND(Y17="Media",AA17="Catastrófico"),AND(Y17="Alta",AA17="Catastrófico"),AND(Y17="Muy Alta",AA17="Catastrófico")),"Extremo","")))),"")</f>
        <v/>
      </c>
      <c r="AD17" s="25" t="s">
        <v>82</v>
      </c>
      <c r="AE17" s="26"/>
      <c r="AF17" s="26"/>
      <c r="AG17" s="27"/>
      <c r="AH17" s="28"/>
      <c r="AI17" s="29"/>
      <c r="AJ17" s="30" t="s">
        <v>60</v>
      </c>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1"/>
      <c r="BM17" s="31"/>
      <c r="BN17" s="31"/>
      <c r="BO17" s="31"/>
      <c r="BP17" s="31"/>
    </row>
    <row r="18" spans="1:68" ht="52.5" customHeight="1" x14ac:dyDescent="0.3">
      <c r="A18" s="121"/>
      <c r="B18" s="123"/>
      <c r="C18" s="123"/>
      <c r="D18" s="123"/>
      <c r="E18" s="196"/>
      <c r="F18" s="123"/>
      <c r="G18" s="125"/>
      <c r="H18" s="117"/>
      <c r="I18" s="115"/>
      <c r="J18" s="113"/>
      <c r="K18" s="115">
        <f>IF(NOT(ISERROR(MATCH(J18,_xlfn.ANCHORARRAY(E20),0))),#REF!&amp;"Por favor no seleccionar los criterios de impacto",J18)</f>
        <v>0</v>
      </c>
      <c r="L18" s="117"/>
      <c r="M18" s="115"/>
      <c r="N18" s="119"/>
      <c r="O18" s="16">
        <v>2</v>
      </c>
      <c r="P18" s="17" t="s">
        <v>102</v>
      </c>
      <c r="Q18" s="18"/>
      <c r="R18" s="19" t="s">
        <v>81</v>
      </c>
      <c r="S18" s="19" t="s">
        <v>68</v>
      </c>
      <c r="T18" s="20" t="str">
        <f t="shared" ref="T18" si="10">IF(AND(R18="Preventivo",S18="Automático"),"50%",IF(AND(R18="Preventivo",S18="Manual"),"40%",IF(AND(R18="Detectivo",S18="Automático"),"40%",IF(AND(R18="Detectivo",S18="Manual"),"30%",IF(AND(R18="Correctivo",S18="Automático"),"35%",IF(AND(R18="Correctivo",S18="Manual"),"25%",""))))))</f>
        <v>40%</v>
      </c>
      <c r="U18" s="19" t="s">
        <v>54</v>
      </c>
      <c r="V18" s="19" t="s">
        <v>70</v>
      </c>
      <c r="W18" s="19" t="s">
        <v>56</v>
      </c>
      <c r="X18" s="21" t="str">
        <f>IFERROR(IF(AND(Q17="Probabilidad",Q18="Probabilidad"),(Z17-(+Z17*T18)),IF(Q18="Probabilidad",(I17-(+I17*T18)),IF(Q18="Impacto",Z17,""))),"")</f>
        <v/>
      </c>
      <c r="Y18" s="22" t="str">
        <f t="shared" ref="Y18" si="11">IFERROR(IF(X18="","",IF(X18&lt;=0.2,"Muy Baja",IF(X18&lt;=0.4,"Baja",IF(X18&lt;=0.6,"Media",IF(X18&lt;=0.8,"Alta","Muy Alta"))))),"")</f>
        <v/>
      </c>
      <c r="Z18" s="23" t="str">
        <f t="shared" ref="Z18" si="12">+X18</f>
        <v/>
      </c>
      <c r="AA18" s="22" t="str">
        <f t="shared" ref="AA18" si="13">IFERROR(IF(AB18="","",IF(AB18&lt;=0.2,"Leve",IF(AB18&lt;=0.4,"Menor",IF(AB18&lt;=0.6,"Moderado",IF(AB18&lt;=0.8,"Mayor","Catastrófico"))))),"")</f>
        <v/>
      </c>
      <c r="AB18" s="23" t="str">
        <f>IFERROR(IF(AND(Q17="Impacto",Q18="Impacto"),(AB17-(+AB17*T18)),IF(Q18="Impacto",(M17-(+M17*T18)),IF(Q18="Probabilidad",AB17,""))),"")</f>
        <v/>
      </c>
      <c r="AC18" s="24" t="str">
        <f t="shared" ref="AC18" si="14">IFERROR(IF(OR(AND(Y18="Muy Baja",AA18="Leve"),AND(Y18="Muy Baja",AA18="Menor"),AND(Y18="Baja",AA18="Leve")),"Bajo",IF(OR(AND(Y18="Muy baja",AA18="Moderado"),AND(Y18="Baja",AA18="Menor"),AND(Y18="Baja",AA18="Moderado"),AND(Y18="Media",AA18="Leve"),AND(Y18="Media",AA18="Menor"),AND(Y18="Media",AA18="Moderado"),AND(Y18="Alta",AA18="Leve"),AND(Y18="Alta",AA18="Menor")),"Moderado",IF(OR(AND(Y18="Muy Baja",AA18="Mayor"),AND(Y18="Baja",AA18="Mayor"),AND(Y18="Media",AA18="Mayor"),AND(Y18="Alta",AA18="Moderado"),AND(Y18="Alta",AA18="Mayor"),AND(Y18="Muy Alta",AA18="Leve"),AND(Y18="Muy Alta",AA18="Menor"),AND(Y18="Muy Alta",AA18="Moderado"),AND(Y18="Muy Alta",AA18="Mayor")),"Alto",IF(OR(AND(Y18="Muy Baja",AA18="Catastrófico"),AND(Y18="Baja",AA18="Catastrófico"),AND(Y18="Media",AA18="Catastrófico"),AND(Y18="Alta",AA18="Catastrófico"),AND(Y18="Muy Alta",AA18="Catastrófico")),"Extremo","")))),"")</f>
        <v/>
      </c>
      <c r="AD18" s="33" t="s">
        <v>82</v>
      </c>
      <c r="AE18" s="26"/>
      <c r="AF18" s="26"/>
      <c r="AG18" s="27"/>
      <c r="AH18" s="43"/>
      <c r="AI18" s="29"/>
      <c r="AJ18" s="30" t="s">
        <v>60</v>
      </c>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row>
    <row r="19" spans="1:68" ht="81.75" customHeight="1" x14ac:dyDescent="0.3">
      <c r="A19" s="121"/>
      <c r="B19" s="9" t="s">
        <v>103</v>
      </c>
      <c r="C19" s="9" t="s">
        <v>104</v>
      </c>
      <c r="D19" s="9" t="s">
        <v>105</v>
      </c>
      <c r="E19" s="44" t="s">
        <v>106</v>
      </c>
      <c r="F19" s="9" t="s">
        <v>107</v>
      </c>
      <c r="G19" s="11">
        <v>2</v>
      </c>
      <c r="H19" s="12" t="str">
        <f>IF(G19&lt;=0,"",IF(G19&lt;=2,"Muy Baja",IF(G19&lt;=24,"Baja",IF(G19&lt;=500,"Media",IF(G19&lt;=5000,"Alta","Muy Alta")))))</f>
        <v>Muy Baja</v>
      </c>
      <c r="I19" s="13">
        <f>IF(H19="","",IF(H19="Muy Baja",0.2,IF(H19="Baja",0.4,IF(H19="Media",0.6,IF(H19="Alta",0.8,IF(H19="Muy Alta",1,))))))</f>
        <v>0.2</v>
      </c>
      <c r="J19" s="14" t="s">
        <v>108</v>
      </c>
      <c r="K19" s="45" t="str">
        <f>IF(NOT(ISERROR(MATCH(J19,'[3]Tabla Impacto'!$B$221:$B$223,0))),'[3]Tabla Impacto'!$F$223&amp;"Por favor no seleccionar los criterios de impacto(Afectación Económica o presupuestal y Pérdida Reputacional)",J19)</f>
        <v xml:space="preserve">     Afectación menor a 10 SMLMV .</v>
      </c>
      <c r="L19" s="12" t="str">
        <f>IF(OR(K19='[3]Tabla Impacto'!$C$11,K19='[3]Tabla Impacto'!$D$11),"Leve",IF(OR(K19='[3]Tabla Impacto'!$C$12,K19='[3]Tabla Impacto'!$D$12),"Menor",IF(OR(K19='[3]Tabla Impacto'!$C$13,K19='[3]Tabla Impacto'!$D$13),"Moderado",IF(OR(K19='[3]Tabla Impacto'!$C$14,K19='[3]Tabla Impacto'!$D$14),"Mayor",IF(OR(K19='[3]Tabla Impacto'!$C$15,K19='[3]Tabla Impacto'!$D$15),"Catastrófico","")))))</f>
        <v>Leve</v>
      </c>
      <c r="M19" s="13">
        <f>IF(L19="","",IF(L19="Leve",0.2,IF(L19="Menor",0.4,IF(L19="Moderado",0.6,IF(L19="Mayor",0.8,IF(L19="Catastrófico",1,))))))</f>
        <v>0.2</v>
      </c>
      <c r="N19" s="15" t="str">
        <f>IF(OR(AND(H19="Muy Baja",L19="Leve"),AND(H19="Muy Baja",L19="Menor"),AND(H19="Baja",L19="Leve")),"Bajo",IF(OR(AND(H19="Muy baja",L19="Moderado"),AND(H19="Baja",L19="Menor"),AND(H19="Baja",L19="Moderado"),AND(H19="Media",L19="Leve"),AND(H19="Media",L19="Menor"),AND(H19="Media",L19="Moderado"),AND(H19="Alta",L19="Leve"),AND(H19="Alta",L19="Menor")),"Moderado",IF(OR(AND(H19="Muy Baja",L19="Mayor"),AND(H19="Baja",L19="Mayor"),AND(H19="Media",L19="Mayor"),AND(H19="Alta",L19="Moderado"),AND(H19="Alta",L19="Mayor"),AND(H19="Muy Alta",L19="Leve"),AND(H19="Muy Alta",L19="Menor"),AND(H19="Muy Alta",L19="Moderado"),AND(H19="Muy Alta",L19="Mayor")),"Alto",IF(OR(AND(H19="Muy Baja",L19="Catastrófico"),AND(H19="Baja",L19="Catastrófico"),AND(H19="Media",L19="Catastrófico"),AND(H19="Alta",L19="Catastrófico"),AND(H19="Muy Alta",L19="Catastrófico")),"Extremo",""))))</f>
        <v>Bajo</v>
      </c>
      <c r="O19" s="46">
        <v>1</v>
      </c>
      <c r="P19" s="17" t="s">
        <v>109</v>
      </c>
      <c r="Q19" s="18"/>
      <c r="R19" s="19" t="s">
        <v>81</v>
      </c>
      <c r="S19" s="19" t="s">
        <v>68</v>
      </c>
      <c r="T19" s="20" t="str">
        <f>IF(AND(R19="Preventivo",S19="Automático"),"50%",IF(AND(R19="Preventivo",S19="Manual"),"40%",IF(AND(R19="Detectivo",S19="Automático"),"40%",IF(AND(R19="Detectivo",S19="Manual"),"30%",IF(AND(R19="Correctivo",S19="Automático"),"35%",IF(AND(R19="Correctivo",S19="Manual"),"25%",""))))))</f>
        <v>40%</v>
      </c>
      <c r="U19" s="19" t="s">
        <v>54</v>
      </c>
      <c r="V19" s="19" t="s">
        <v>70</v>
      </c>
      <c r="W19" s="19" t="s">
        <v>56</v>
      </c>
      <c r="X19" s="38" t="str">
        <f>IFERROR(IF(Q19="Probabilidad",(I19-(+I19*T19)),IF(Q19="Impacto",I19,"")),"")</f>
        <v/>
      </c>
      <c r="Y19" s="22" t="str">
        <f>IFERROR(IF(X19="","",IF(X19&lt;=0.2,"Muy Baja",IF(X19&lt;=0.4,"Baja",IF(X19&lt;=0.6,"Media",IF(X19&lt;=0.8,"Alta","Muy Alta"))))),"")</f>
        <v/>
      </c>
      <c r="Z19" s="23" t="str">
        <f>+X19</f>
        <v/>
      </c>
      <c r="AA19" s="22" t="str">
        <f>IFERROR(IF(AB19="","",IF(AB19&lt;=0.2,"Leve",IF(AB19&lt;=0.4,"Menor",IF(AB19&lt;=0.6,"Moderado",IF(AB19&lt;=0.8,"Mayor","Catastrófico"))))),"")</f>
        <v/>
      </c>
      <c r="AB19" s="23" t="str">
        <f>IFERROR(IF(Q19="Impacto",(M19-(+M19*T19)),IF(Q19="Probabilidad",M19,"")),"")</f>
        <v/>
      </c>
      <c r="AC19" s="24" t="str">
        <f>IFERROR(IF(OR(AND(Y19="Muy Baja",AA19="Leve"),AND(Y19="Muy Baja",AA19="Menor"),AND(Y19="Baja",AA19="Leve")),"Bajo",IF(OR(AND(Y19="Muy baja",AA19="Moderado"),AND(Y19="Baja",AA19="Menor"),AND(Y19="Baja",AA19="Moderado"),AND(Y19="Media",AA19="Leve"),AND(Y19="Media",AA19="Menor"),AND(Y19="Media",AA19="Moderado"),AND(Y19="Alta",AA19="Leve"),AND(Y19="Alta",AA19="Menor")),"Moderado",IF(OR(AND(Y19="Muy Baja",AA19="Mayor"),AND(Y19="Baja",AA19="Mayor"),AND(Y19="Media",AA19="Mayor"),AND(Y19="Alta",AA19="Moderado"),AND(Y19="Alta",AA19="Mayor"),AND(Y19="Muy Alta",AA19="Leve"),AND(Y19="Muy Alta",AA19="Menor"),AND(Y19="Muy Alta",AA19="Moderado"),AND(Y19="Muy Alta",AA19="Mayor")),"Alto",IF(OR(AND(Y19="Muy Baja",AA19="Catastrófico"),AND(Y19="Baja",AA19="Catastrófico"),AND(Y19="Media",AA19="Catastrófico"),AND(Y19="Alta",AA19="Catastrófico"),AND(Y19="Muy Alta",AA19="Catastrófico")),"Extremo","")))),"")</f>
        <v/>
      </c>
      <c r="AD19" s="33" t="s">
        <v>57</v>
      </c>
      <c r="AE19" s="47" t="s">
        <v>110</v>
      </c>
      <c r="AF19" s="47" t="s">
        <v>111</v>
      </c>
      <c r="AG19" s="48">
        <v>44865</v>
      </c>
      <c r="AH19" s="48" t="s">
        <v>112</v>
      </c>
      <c r="AI19" s="49" t="s">
        <v>112</v>
      </c>
      <c r="AJ19" s="50" t="s">
        <v>60</v>
      </c>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row>
    <row r="20" spans="1:68" s="32" customFormat="1" ht="167.25" customHeight="1" x14ac:dyDescent="0.25">
      <c r="A20" s="121"/>
      <c r="B20" s="122" t="s">
        <v>61</v>
      </c>
      <c r="C20" s="122" t="s">
        <v>113</v>
      </c>
      <c r="D20" s="122" t="s">
        <v>114</v>
      </c>
      <c r="E20" s="138" t="s">
        <v>115</v>
      </c>
      <c r="F20" s="122" t="s">
        <v>274</v>
      </c>
      <c r="G20" s="124">
        <f>10*12</f>
        <v>120</v>
      </c>
      <c r="H20" s="116" t="str">
        <f>IF(G20&lt;=0,"",IF(G20&lt;=2,"Muy Baja",IF(G20&lt;=24,"Baja",IF(G20&lt;=500,"Media",IF(G20&lt;=5000,"Alta","Muy Alta")))))</f>
        <v>Media</v>
      </c>
      <c r="I20" s="114">
        <f>IF(H20="","",IF(H20="Muy Baja",0.2,IF(H20="Baja",0.4,IF(H20="Media",0.6,IF(H20="Alta",0.8,IF(H20="Muy Alta",1,))))))</f>
        <v>0.6</v>
      </c>
      <c r="J20" s="112" t="s">
        <v>116</v>
      </c>
      <c r="K20" s="114" t="str">
        <f>IF(NOT(ISERROR(MATCH(J20,'[4]Tabla Impacto'!$B$221:$B$223,0))),'[4]Tabla Impacto'!$F$223&amp;"Por favor no seleccionar los criterios de impacto(Afectación Económica o presupuestal y Pérdida Reputacional)",J20)</f>
        <v>❌Por favor no seleccionar los criterios de impacto(Afectación Económica o presupuestal y Pérdida Reputacional)</v>
      </c>
      <c r="L20" s="116" t="str">
        <f>IF(OR(K20='[4]Tabla Impacto'!$C$11,K20='[4]Tabla Impacto'!$D$11),"Leve",IF(OR(K20='[4]Tabla Impacto'!$C$12,K20='[4]Tabla Impacto'!$D$12),"Menor",IF(OR(K20='[4]Tabla Impacto'!$C$13,K20='[4]Tabla Impacto'!$D$13),"Moderado",IF(OR(K20='[4]Tabla Impacto'!$C$14,K20='[4]Tabla Impacto'!$D$14),"Mayor",IF(OR(K20='[4]Tabla Impacto'!$C$15,K20='[4]Tabla Impacto'!$D$15),"Catastrófico","")))))</f>
        <v/>
      </c>
      <c r="M20" s="114" t="str">
        <f>IF(L20="","",IF(L20="Leve",0.2,IF(L20="Menor",0.4,IF(L20="Moderado",0.6,IF(L20="Mayor",0.8,IF(L20="Catastrófico",1,))))))</f>
        <v/>
      </c>
      <c r="N20" s="118" t="str">
        <f>IF(OR(AND(H20="Muy Baja",L20="Leve"),AND(H20="Muy Baja",L20="Menor"),AND(H20="Baja",L20="Leve")),"Bajo",IF(OR(AND(H20="Muy baja",L20="Moderado"),AND(H20="Baja",L20="Menor"),AND(H20="Baja",L20="Moderado"),AND(H20="Media",L20="Leve"),AND(H20="Media",L20="Menor"),AND(H20="Media",L20="Moderado"),AND(H20="Alta",L20="Leve"),AND(H20="Alta",L20="Menor")),"Moderado",IF(OR(AND(H20="Muy Baja",L20="Mayor"),AND(H20="Baja",L20="Mayor"),AND(H20="Media",L20="Mayor"),AND(H20="Alta",L20="Moderado"),AND(H20="Alta",L20="Mayor"),AND(H20="Muy Alta",L20="Leve"),AND(H20="Muy Alta",L20="Menor"),AND(H20="Muy Alta",L20="Moderado"),AND(H20="Muy Alta",L20="Mayor")),"Alto",IF(OR(AND(H20="Muy Baja",L20="Catastrófico"),AND(H20="Baja",L20="Catastrófico"),AND(H20="Media",L20="Catastrófico"),AND(H20="Alta",L20="Catastrófico"),AND(H20="Muy Alta",L20="Catastrófico")),"Extremo",""))))</f>
        <v/>
      </c>
      <c r="O20" s="16">
        <v>1</v>
      </c>
      <c r="P20" s="17" t="s">
        <v>117</v>
      </c>
      <c r="Q20" s="18" t="str">
        <f>IF(OR(R20="Preventivo",R20="Detectivo"),"Probabilidad",IF(R20="Correctivo","Impacto",""))</f>
        <v>Probabilidad</v>
      </c>
      <c r="R20" s="19" t="s">
        <v>81</v>
      </c>
      <c r="S20" s="19" t="s">
        <v>68</v>
      </c>
      <c r="T20" s="20" t="str">
        <f>IF(AND(R20="Preventivo",S20="Automático"),"50%",IF(AND(R20="Preventivo",S20="Manual"),"40%",IF(AND(R20="Detectivo",S20="Automático"),"40%",IF(AND(R20="Detectivo",S20="Manual"),"30%",IF(AND(R20="Correctivo",S20="Automático"),"35%",IF(AND(R20="Correctivo",S20="Manual"),"25%",""))))))</f>
        <v>40%</v>
      </c>
      <c r="U20" s="19" t="s">
        <v>54</v>
      </c>
      <c r="V20" s="19" t="s">
        <v>70</v>
      </c>
      <c r="W20" s="19" t="s">
        <v>71</v>
      </c>
      <c r="X20" s="21">
        <f>IFERROR(IF(Q20="Probabilidad",(I20-(+I20*T20)),IF(Q20="Impacto",I20,"")),"")</f>
        <v>0.36</v>
      </c>
      <c r="Y20" s="22" t="str">
        <f>IFERROR(IF(X20="","",IF(X20&lt;=0.2,"Muy Baja",IF(X20&lt;=0.4,"Baja",IF(X20&lt;=0.6,"Media",IF(X20&lt;=0.8,"Alta","Muy Alta"))))),"")</f>
        <v>Baja</v>
      </c>
      <c r="Z20" s="23">
        <f>+X20</f>
        <v>0.36</v>
      </c>
      <c r="AA20" s="22" t="str">
        <f>IFERROR(IF(AB20="","",IF(AB20&lt;=0.2,"Leve",IF(AB20&lt;=0.4,"Menor",IF(AB20&lt;=0.6,"Moderado",IF(AB20&lt;=0.8,"Mayor","Catastrófico"))))),"")</f>
        <v/>
      </c>
      <c r="AB20" s="23" t="str">
        <f>IFERROR(IF(Q20="Impacto",(M20-(+M20*T20)),IF(Q20="Probabilidad",M20,"")),"")</f>
        <v/>
      </c>
      <c r="AC20" s="24" t="str">
        <f>IFERROR(IF(OR(AND(Y20="Muy Baja",AA20="Leve"),AND(Y20="Muy Baja",AA20="Menor"),AND(Y20="Baja",AA20="Leve")),"Bajo",IF(OR(AND(Y20="Muy baja",AA20="Moderado"),AND(Y20="Baja",AA20="Menor"),AND(Y20="Baja",AA20="Moderado"),AND(Y20="Media",AA20="Leve"),AND(Y20="Media",AA20="Menor"),AND(Y20="Media",AA20="Moderado"),AND(Y20="Alta",AA20="Leve"),AND(Y20="Alta",AA20="Menor")),"Moderado",IF(OR(AND(Y20="Muy Baja",AA20="Mayor"),AND(Y20="Baja",AA20="Mayor"),AND(Y20="Media",AA20="Mayor"),AND(Y20="Alta",AA20="Moderado"),AND(Y20="Alta",AA20="Mayor"),AND(Y20="Muy Alta",AA20="Leve"),AND(Y20="Muy Alta",AA20="Menor"),AND(Y20="Muy Alta",AA20="Moderado"),AND(Y20="Muy Alta",AA20="Mayor")),"Alto",IF(OR(AND(Y20="Muy Baja",AA20="Catastrófico"),AND(Y20="Baja",AA20="Catastrófico"),AND(Y20="Media",AA20="Catastrófico"),AND(Y20="Alta",AA20="Catastrófico"),AND(Y20="Muy Alta",AA20="Catastrófico")),"Extremo","")))),"")</f>
        <v/>
      </c>
      <c r="AD20" s="25" t="s">
        <v>57</v>
      </c>
      <c r="AE20" s="26" t="s">
        <v>118</v>
      </c>
      <c r="AF20" s="26" t="s">
        <v>119</v>
      </c>
      <c r="AG20" s="27">
        <v>44834</v>
      </c>
      <c r="AH20" s="28">
        <f>+I20-(I20*T20)</f>
        <v>0.36</v>
      </c>
      <c r="AI20" s="29"/>
      <c r="AJ20" s="30" t="s">
        <v>60</v>
      </c>
      <c r="AK20" s="31"/>
      <c r="AL20" s="31"/>
      <c r="AM20" s="31"/>
      <c r="AN20" s="31"/>
      <c r="AO20" s="31"/>
      <c r="AP20" s="31"/>
      <c r="AQ20" s="31"/>
      <c r="AR20" s="31"/>
      <c r="AS20" s="31"/>
      <c r="AT20" s="31"/>
      <c r="AU20" s="31"/>
      <c r="AV20" s="31"/>
      <c r="AW20" s="31"/>
      <c r="AX20" s="31"/>
      <c r="AY20" s="31"/>
      <c r="AZ20" s="31"/>
      <c r="BA20" s="31"/>
      <c r="BB20" s="31"/>
      <c r="BC20" s="31"/>
      <c r="BD20" s="31"/>
      <c r="BE20" s="31"/>
      <c r="BF20" s="31"/>
      <c r="BG20" s="31"/>
      <c r="BH20" s="31"/>
      <c r="BI20" s="31"/>
      <c r="BJ20" s="31"/>
      <c r="BK20" s="31"/>
      <c r="BL20" s="31"/>
      <c r="BM20" s="31"/>
      <c r="BN20" s="31"/>
      <c r="BO20" s="31"/>
      <c r="BP20" s="31"/>
    </row>
    <row r="21" spans="1:68" ht="151.5" customHeight="1" x14ac:dyDescent="0.3">
      <c r="A21" s="121"/>
      <c r="B21" s="123"/>
      <c r="C21" s="123"/>
      <c r="D21" s="123"/>
      <c r="E21" s="139"/>
      <c r="F21" s="123"/>
      <c r="G21" s="125"/>
      <c r="H21" s="117"/>
      <c r="I21" s="115"/>
      <c r="J21" s="113"/>
      <c r="K21" s="115">
        <f>IF(NOT(ISERROR(MATCH(J21,_xlfn.ANCHORARRAY(E26),0))),#REF!&amp;"Por favor no seleccionar los criterios de impacto",J21)</f>
        <v>0</v>
      </c>
      <c r="L21" s="117"/>
      <c r="M21" s="115"/>
      <c r="N21" s="119"/>
      <c r="O21" s="16">
        <v>2</v>
      </c>
      <c r="P21" s="17" t="s">
        <v>120</v>
      </c>
      <c r="Q21" s="18" t="str">
        <f>IF(OR(R21="Preventivo",R21="Detectivo"),"Probabilidad",IF(R21="Correctivo","Impacto",""))</f>
        <v>Probabilidad</v>
      </c>
      <c r="R21" s="19" t="s">
        <v>52</v>
      </c>
      <c r="S21" s="19" t="s">
        <v>53</v>
      </c>
      <c r="T21" s="20" t="str">
        <f t="shared" ref="T21" si="15">IF(AND(R21="Preventivo",S21="Automático"),"50%",IF(AND(R21="Preventivo",S21="Manual"),"40%",IF(AND(R21="Detectivo",S21="Automático"),"40%",IF(AND(R21="Detectivo",S21="Manual"),"30%",IF(AND(R21="Correctivo",S21="Automático"),"35%",IF(AND(R21="Correctivo",S21="Manual"),"25%",""))))))</f>
        <v>40%</v>
      </c>
      <c r="U21" s="19" t="s">
        <v>54</v>
      </c>
      <c r="V21" s="19" t="s">
        <v>55</v>
      </c>
      <c r="W21" s="19" t="s">
        <v>56</v>
      </c>
      <c r="X21" s="21">
        <f>IFERROR(IF(AND(Q20="Probabilidad",Q21="Probabilidad"),(Z20-(+Z20*T21)),IF(Q21="Probabilidad",(I20-(+I20*T21)),IF(Q21="Impacto",Z20,""))),"")</f>
        <v>0.216</v>
      </c>
      <c r="Y21" s="22" t="str">
        <f t="shared" ref="Y21:Y24" si="16">IFERROR(IF(X21="","",IF(X21&lt;=0.2,"Muy Baja",IF(X21&lt;=0.4,"Baja",IF(X21&lt;=0.6,"Media",IF(X21&lt;=0.8,"Alta","Muy Alta"))))),"")</f>
        <v>Baja</v>
      </c>
      <c r="Z21" s="23">
        <f t="shared" ref="Z21" si="17">+X21</f>
        <v>0.216</v>
      </c>
      <c r="AA21" s="22" t="str">
        <f t="shared" ref="AA21:AA24" si="18">IFERROR(IF(AB21="","",IF(AB21&lt;=0.2,"Leve",IF(AB21&lt;=0.4,"Menor",IF(AB21&lt;=0.6,"Moderado",IF(AB21&lt;=0.8,"Mayor","Catastrófico"))))),"")</f>
        <v/>
      </c>
      <c r="AB21" s="23" t="str">
        <f>IFERROR(IF(AND(Q20="Impacto",Q21="Impacto"),(AB20-(+AB20*T21)),IF(Q21="Impacto",(M20-(+M20*T21)),IF(Q21="Probabilidad",AB20,""))),"")</f>
        <v/>
      </c>
      <c r="AC21" s="24" t="str">
        <f t="shared" ref="AC21" si="19">IFERROR(IF(OR(AND(Y21="Muy Baja",AA21="Leve"),AND(Y21="Muy Baja",AA21="Menor"),AND(Y21="Baja",AA21="Leve")),"Bajo",IF(OR(AND(Y21="Muy baja",AA21="Moderado"),AND(Y21="Baja",AA21="Menor"),AND(Y21="Baja",AA21="Moderado"),AND(Y21="Media",AA21="Leve"),AND(Y21="Media",AA21="Menor"),AND(Y21="Media",AA21="Moderado"),AND(Y21="Alta",AA21="Leve"),AND(Y21="Alta",AA21="Menor")),"Moderado",IF(OR(AND(Y21="Muy Baja",AA21="Mayor"),AND(Y21="Baja",AA21="Mayor"),AND(Y21="Media",AA21="Mayor"),AND(Y21="Alta",AA21="Moderado"),AND(Y21="Alta",AA21="Mayor"),AND(Y21="Muy Alta",AA21="Leve"),AND(Y21="Muy Alta",AA21="Menor"),AND(Y21="Muy Alta",AA21="Moderado"),AND(Y21="Muy Alta",AA21="Mayor")),"Alto",IF(OR(AND(Y21="Muy Baja",AA21="Catastrófico"),AND(Y21="Baja",AA21="Catastrófico"),AND(Y21="Media",AA21="Catastrófico"),AND(Y21="Alta",AA21="Catastrófico"),AND(Y21="Muy Alta",AA21="Catastrófico")),"Extremo","")))),"")</f>
        <v/>
      </c>
      <c r="AD21" s="33" t="s">
        <v>57</v>
      </c>
      <c r="AE21" s="26" t="s">
        <v>121</v>
      </c>
      <c r="AF21" s="26" t="s">
        <v>119</v>
      </c>
      <c r="AG21" s="27">
        <v>44834</v>
      </c>
      <c r="AH21" s="43"/>
      <c r="AI21" s="29"/>
      <c r="AJ21" s="30" t="s">
        <v>60</v>
      </c>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row>
    <row r="22" spans="1:68" ht="202.5" customHeight="1" x14ac:dyDescent="0.3">
      <c r="A22" s="121"/>
      <c r="B22" s="122" t="s">
        <v>45</v>
      </c>
      <c r="C22" s="122" t="s">
        <v>122</v>
      </c>
      <c r="D22" s="122" t="s">
        <v>123</v>
      </c>
      <c r="E22" s="134" t="s">
        <v>124</v>
      </c>
      <c r="F22" s="122" t="s">
        <v>274</v>
      </c>
      <c r="G22" s="124">
        <v>120</v>
      </c>
      <c r="H22" s="116" t="str">
        <f>IF(G22&lt;=0,"",IF(G22&lt;=2,"Muy Baja",IF(G22&lt;=24,"Baja",IF(G22&lt;=500,"Media",IF(G22&lt;=5000,"Alta","Muy Alta")))))</f>
        <v>Media</v>
      </c>
      <c r="I22" s="114">
        <f>IF(H22="","",IF(H22="Muy Baja",0.2,IF(H22="Baja",0.4,IF(H22="Media",0.6,IF(H22="Alta",0.8,IF(H22="Muy Alta",1,))))))</f>
        <v>0.6</v>
      </c>
      <c r="J22" s="112" t="s">
        <v>100</v>
      </c>
      <c r="K22" s="136" t="str">
        <f>IF(NOT(ISERROR(MATCH(J22,'[4]Tabla Impacto'!$B$221:$B$223,0))),'[4]Tabla Impacto'!$F$223&amp;"Por favor no seleccionar los criterios de impacto(Afectación Económica o presupuestal y Pérdida Reputacional)",J22)</f>
        <v xml:space="preserve">     El riesgo afecta la imagen de la entidad con algunos usuarios de relevancia frente al logro de los objetivos</v>
      </c>
      <c r="L22" s="116" t="str">
        <f>IF(OR(K22='[4]Tabla Impacto'!$C$11,K22='[4]Tabla Impacto'!$D$11),"Leve",IF(OR(K22='[4]Tabla Impacto'!$C$12,K22='[4]Tabla Impacto'!$D$12),"Menor",IF(OR(K22='[4]Tabla Impacto'!$C$13,K22='[4]Tabla Impacto'!$D$13),"Moderado",IF(OR(K22='[4]Tabla Impacto'!$C$14,K22='[4]Tabla Impacto'!$D$14),"Mayor",IF(OR(K22='[4]Tabla Impacto'!$C$15,K22='[4]Tabla Impacto'!$D$15),"Catastrófico","")))))</f>
        <v>Moderado</v>
      </c>
      <c r="M22" s="114">
        <f>IF(L22="","",IF(L22="Leve",0.2,IF(L22="Menor",0.4,IF(L22="Moderado",0.6,IF(L22="Mayor",0.8,IF(L22="Catastrófico",1,))))))</f>
        <v>0.6</v>
      </c>
      <c r="N22" s="118" t="str">
        <f>IF(OR(AND(H22="Muy Baja",L22="Leve"),AND(H22="Muy Baja",L22="Menor"),AND(H22="Baja",L22="Leve")),"Bajo",IF(OR(AND(H22="Muy baja",L22="Moderado"),AND(H22="Baja",L22="Menor"),AND(H22="Baja",L22="Moderado"),AND(H22="Media",L22="Leve"),AND(H22="Media",L22="Menor"),AND(H22="Media",L22="Moderado"),AND(H22="Alta",L22="Leve"),AND(H22="Alta",L22="Menor")),"Moderado",IF(OR(AND(H22="Muy Baja",L22="Mayor"),AND(H22="Baja",L22="Mayor"),AND(H22="Media",L22="Mayor"),AND(H22="Alta",L22="Moderado"),AND(H22="Alta",L22="Mayor"),AND(H22="Muy Alta",L22="Leve"),AND(H22="Muy Alta",L22="Menor"),AND(H22="Muy Alta",L22="Moderado"),AND(H22="Muy Alta",L22="Mayor")),"Alto",IF(OR(AND(H22="Muy Baja",L22="Catastrófico"),AND(H22="Baja",L22="Catastrófico"),AND(H22="Media",L22="Catastrófico"),AND(H22="Alta",L22="Catastrófico"),AND(H22="Muy Alta",L22="Catastrófico")),"Extremo",""))))</f>
        <v>Moderado</v>
      </c>
      <c r="O22" s="46">
        <v>1</v>
      </c>
      <c r="P22" s="17" t="s">
        <v>125</v>
      </c>
      <c r="Q22" s="18" t="str">
        <f>IF(OR(R22="Preventivo",R22="Detectivo"),"Probabilidad",IF(R22="Correctivo","Impacto",""))</f>
        <v>Probabilidad</v>
      </c>
      <c r="R22" s="19" t="s">
        <v>52</v>
      </c>
      <c r="S22" s="19" t="s">
        <v>68</v>
      </c>
      <c r="T22" s="20" t="str">
        <f>IF(AND(R22="Preventivo",S22="Automático"),"50%",IF(AND(R22="Preventivo",S22="Manual"),"40%",IF(AND(R22="Detectivo",S22="Automático"),"40%",IF(AND(R22="Detectivo",S22="Manual"),"30%",IF(AND(R22="Correctivo",S22="Automático"),"35%",IF(AND(R22="Correctivo",S22="Manual"),"25%",""))))))</f>
        <v>30%</v>
      </c>
      <c r="U22" s="19" t="s">
        <v>54</v>
      </c>
      <c r="V22" s="19" t="s">
        <v>55</v>
      </c>
      <c r="W22" s="19" t="s">
        <v>56</v>
      </c>
      <c r="X22" s="38">
        <f>IFERROR(IF(Q22="Probabilidad",(I22-(+I22*T22)),IF(Q22="Impacto",I22,"")),"")</f>
        <v>0.42</v>
      </c>
      <c r="Y22" s="22" t="str">
        <f>IFERROR(IF(X22="","",IF(X22&lt;=0.2,"Muy Baja",IF(X22&lt;=0.4,"Baja",IF(X22&lt;=0.6,"Media",IF(X22&lt;=0.8,"Alta","Muy Alta"))))),"")</f>
        <v>Media</v>
      </c>
      <c r="Z22" s="23">
        <f>+X22</f>
        <v>0.42</v>
      </c>
      <c r="AA22" s="22" t="str">
        <f>IFERROR(IF(AB22="","",IF(AB22&lt;=0.2,"Leve",IF(AB22&lt;=0.4,"Menor",IF(AB22&lt;=0.6,"Moderado",IF(AB22&lt;=0.8,"Mayor","Catastrófico"))))),"")</f>
        <v>Moderado</v>
      </c>
      <c r="AB22" s="23">
        <f>IFERROR(IF(Q22="Impacto",(M22-(+M22*T22)),IF(Q22="Probabilidad",M22,"")),"")</f>
        <v>0.6</v>
      </c>
      <c r="AC22" s="24" t="str">
        <f>IFERROR(IF(OR(AND(Y22="Muy Baja",AA22="Leve"),AND(Y22="Muy Baja",AA22="Menor"),AND(Y22="Baja",AA22="Leve")),"Bajo",IF(OR(AND(Y22="Muy baja",AA22="Moderado"),AND(Y22="Baja",AA22="Menor"),AND(Y22="Baja",AA22="Moderado"),AND(Y22="Media",AA22="Leve"),AND(Y22="Media",AA22="Menor"),AND(Y22="Media",AA22="Moderado"),AND(Y22="Alta",AA22="Leve"),AND(Y22="Alta",AA22="Menor")),"Moderado",IF(OR(AND(Y22="Muy Baja",AA22="Mayor"),AND(Y22="Baja",AA22="Mayor"),AND(Y22="Media",AA22="Mayor"),AND(Y22="Alta",AA22="Moderado"),AND(Y22="Alta",AA22="Mayor"),AND(Y22="Muy Alta",AA22="Leve"),AND(Y22="Muy Alta",AA22="Menor"),AND(Y22="Muy Alta",AA22="Moderado"),AND(Y22="Muy Alta",AA22="Mayor")),"Alto",IF(OR(AND(Y22="Muy Baja",AA22="Catastrófico"),AND(Y22="Baja",AA22="Catastrófico"),AND(Y22="Media",AA22="Catastrófico"),AND(Y22="Alta",AA22="Catastrófico"),AND(Y22="Muy Alta",AA22="Catastrófico")),"Extremo","")))),"")</f>
        <v>Moderado</v>
      </c>
      <c r="AD22" s="33" t="s">
        <v>57</v>
      </c>
      <c r="AE22" s="122" t="s">
        <v>126</v>
      </c>
      <c r="AF22" s="122" t="s">
        <v>127</v>
      </c>
      <c r="AG22" s="127" t="s">
        <v>128</v>
      </c>
      <c r="AH22" s="127"/>
      <c r="AI22" s="130"/>
      <c r="AJ22" s="124" t="s">
        <v>60</v>
      </c>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row>
    <row r="23" spans="1:68" ht="191.25" customHeight="1" x14ac:dyDescent="0.3">
      <c r="A23" s="121"/>
      <c r="B23" s="123"/>
      <c r="C23" s="123"/>
      <c r="D23" s="123"/>
      <c r="E23" s="135"/>
      <c r="F23" s="123"/>
      <c r="G23" s="125"/>
      <c r="H23" s="117"/>
      <c r="I23" s="115"/>
      <c r="J23" s="113"/>
      <c r="K23" s="137">
        <f>IF(NOT(ISERROR(MATCH(J23,_xlfn.ANCHORARRAY(E28),0))),I30&amp;"Por favor no seleccionar los criterios de impacto",J23)</f>
        <v>0</v>
      </c>
      <c r="L23" s="117"/>
      <c r="M23" s="115"/>
      <c r="N23" s="119"/>
      <c r="O23" s="46">
        <v>2</v>
      </c>
      <c r="P23" s="17" t="s">
        <v>129</v>
      </c>
      <c r="Q23" s="18" t="str">
        <f>IF(OR(R23="Preventivo",R23="Detectivo"),"Probabilidad",IF(R23="Correctivo","Impacto",""))</f>
        <v>Probabilidad</v>
      </c>
      <c r="R23" s="19" t="s">
        <v>81</v>
      </c>
      <c r="S23" s="19" t="s">
        <v>68</v>
      </c>
      <c r="T23" s="20" t="str">
        <f t="shared" ref="T23:T24" si="20">IF(AND(R23="Preventivo",S23="Automático"),"50%",IF(AND(R23="Preventivo",S23="Manual"),"40%",IF(AND(R23="Detectivo",S23="Automático"),"40%",IF(AND(R23="Detectivo",S23="Manual"),"30%",IF(AND(R23="Correctivo",S23="Automático"),"35%",IF(AND(R23="Correctivo",S23="Manual"),"25%",""))))))</f>
        <v>40%</v>
      </c>
      <c r="U23" s="19" t="s">
        <v>69</v>
      </c>
      <c r="V23" s="19" t="s">
        <v>70</v>
      </c>
      <c r="W23" s="19" t="s">
        <v>56</v>
      </c>
      <c r="X23" s="38">
        <f>IFERROR(IF(AND(Q22="Probabilidad",Q23="Probabilidad"),(Z22-(+Z22*T23)),IF(Q23="Probabilidad",(I22-(+I22*T23)),IF(Q23="Impacto",Z22,""))),"")</f>
        <v>0.252</v>
      </c>
      <c r="Y23" s="22" t="str">
        <f t="shared" si="16"/>
        <v>Baja</v>
      </c>
      <c r="Z23" s="23">
        <f t="shared" ref="Z23:Z24" si="21">+X23</f>
        <v>0.252</v>
      </c>
      <c r="AA23" s="22" t="str">
        <f t="shared" si="18"/>
        <v>Moderado</v>
      </c>
      <c r="AB23" s="23">
        <f>IFERROR(IF(AND(Q22="Impacto",Q23="Impacto"),(AB22-(+AB22*T23)),IF(Q23="Impacto",(M22-(+M22*T23)),IF(Q23="Probabilidad",AB22,""))),"")</f>
        <v>0.6</v>
      </c>
      <c r="AC23" s="24" t="str">
        <f t="shared" ref="AC23:AC24" si="22">IFERROR(IF(OR(AND(Y23="Muy Baja",AA23="Leve"),AND(Y23="Muy Baja",AA23="Menor"),AND(Y23="Baja",AA23="Leve")),"Bajo",IF(OR(AND(Y23="Muy baja",AA23="Moderado"),AND(Y23="Baja",AA23="Menor"),AND(Y23="Baja",AA23="Moderado"),AND(Y23="Media",AA23="Leve"),AND(Y23="Media",AA23="Menor"),AND(Y23="Media",AA23="Moderado"),AND(Y23="Alta",AA23="Leve"),AND(Y23="Alta",AA23="Menor")),"Moderado",IF(OR(AND(Y23="Muy Baja",AA23="Mayor"),AND(Y23="Baja",AA23="Mayor"),AND(Y23="Media",AA23="Mayor"),AND(Y23="Alta",AA23="Moderado"),AND(Y23="Alta",AA23="Mayor"),AND(Y23="Muy Alta",AA23="Leve"),AND(Y23="Muy Alta",AA23="Menor"),AND(Y23="Muy Alta",AA23="Moderado"),AND(Y23="Muy Alta",AA23="Mayor")),"Alto",IF(OR(AND(Y23="Muy Baja",AA23="Catastrófico"),AND(Y23="Baja",AA23="Catastrófico"),AND(Y23="Media",AA23="Catastrófico"),AND(Y23="Alta",AA23="Catastrófico"),AND(Y23="Muy Alta",AA23="Catastrófico")),"Extremo","")))),"")</f>
        <v>Moderado</v>
      </c>
      <c r="AD23" s="33" t="s">
        <v>57</v>
      </c>
      <c r="AE23" s="123"/>
      <c r="AF23" s="123"/>
      <c r="AG23" s="128"/>
      <c r="AH23" s="128"/>
      <c r="AI23" s="131"/>
      <c r="AJ23" s="125"/>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row>
    <row r="24" spans="1:68" ht="239.25" customHeight="1" x14ac:dyDescent="0.3">
      <c r="A24" s="121"/>
      <c r="B24" s="123"/>
      <c r="C24" s="123"/>
      <c r="D24" s="123"/>
      <c r="E24" s="135"/>
      <c r="F24" s="123"/>
      <c r="G24" s="125"/>
      <c r="H24" s="117"/>
      <c r="I24" s="115"/>
      <c r="J24" s="113"/>
      <c r="K24" s="137">
        <f>IF(NOT(ISERROR(MATCH(J24,_xlfn.ANCHORARRAY(E29),0))),#REF!&amp;"Por favor no seleccionar los criterios de impacto",J24)</f>
        <v>0</v>
      </c>
      <c r="L24" s="117"/>
      <c r="M24" s="115"/>
      <c r="N24" s="119"/>
      <c r="O24" s="46">
        <v>3</v>
      </c>
      <c r="P24" s="34"/>
      <c r="Q24" s="18"/>
      <c r="R24" s="19" t="s">
        <v>81</v>
      </c>
      <c r="S24" s="19" t="s">
        <v>53</v>
      </c>
      <c r="T24" s="20" t="str">
        <f t="shared" si="20"/>
        <v>50%</v>
      </c>
      <c r="U24" s="19" t="s">
        <v>69</v>
      </c>
      <c r="V24" s="19" t="s">
        <v>70</v>
      </c>
      <c r="W24" s="19" t="s">
        <v>56</v>
      </c>
      <c r="X24" s="21" t="str">
        <f>IFERROR(IF(AND(Q23="Probabilidad",Q24="Probabilidad"),(Z23-(+Z23*T24)),IF(AND(Q23="Impacto",Q24="Probabilidad"),(Z22-(+Z22*T24)),IF(Q24="Impacto",Z23,""))),"")</f>
        <v/>
      </c>
      <c r="Y24" s="22" t="str">
        <f t="shared" si="16"/>
        <v/>
      </c>
      <c r="Z24" s="23" t="str">
        <f t="shared" si="21"/>
        <v/>
      </c>
      <c r="AA24" s="22" t="str">
        <f t="shared" si="18"/>
        <v/>
      </c>
      <c r="AB24" s="23" t="str">
        <f>IFERROR(IF(AND(Q23="Impacto",Q24="Impacto"),(AB23-(+AB23*T24)),IF(AND(Q23="Probabilidad",Q24="Impacto"),(AB22-(+AB22*T24)),IF(Q24="Probabilidad",AB23,""))),"")</f>
        <v/>
      </c>
      <c r="AC24" s="24" t="str">
        <f t="shared" si="22"/>
        <v/>
      </c>
      <c r="AD24" s="33" t="s">
        <v>57</v>
      </c>
      <c r="AE24" s="123"/>
      <c r="AF24" s="123"/>
      <c r="AG24" s="128"/>
      <c r="AH24" s="128"/>
      <c r="AI24" s="131"/>
      <c r="AJ24" s="125"/>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row>
    <row r="25" spans="1:68" ht="243" customHeight="1" x14ac:dyDescent="0.3">
      <c r="A25" s="121"/>
      <c r="B25" s="123"/>
      <c r="C25" s="123"/>
      <c r="D25" s="123"/>
      <c r="E25" s="135"/>
      <c r="F25" s="123"/>
      <c r="G25" s="125"/>
      <c r="H25" s="117"/>
      <c r="I25" s="115"/>
      <c r="J25" s="113"/>
      <c r="K25" s="137">
        <f>IF(NOT(ISERROR(MATCH(J25,_xlfn.ANCHORARRAY(E30),0))),#REF!&amp;"Por favor no seleccionar los criterios de impacto",J25)</f>
        <v>0</v>
      </c>
      <c r="L25" s="117"/>
      <c r="M25" s="115"/>
      <c r="N25" s="119"/>
      <c r="O25" s="46">
        <v>4</v>
      </c>
      <c r="P25" s="34"/>
      <c r="Q25" s="18"/>
      <c r="R25" s="19"/>
      <c r="S25" s="19" t="s">
        <v>68</v>
      </c>
      <c r="T25" s="20"/>
      <c r="U25" s="19"/>
      <c r="V25" s="19"/>
      <c r="W25" s="19"/>
      <c r="X25" s="21" t="str">
        <f t="shared" ref="X25" si="23">IFERROR(IF(AND(Q24="Probabilidad",Q25="Probabilidad"),(Z24-(+Z24*T25)),IF(AND(Q24="Impacto",Q25="Probabilidad"),(Z23-(+Z23*T25)),IF(Q25="Impacto",Z24,""))),"")</f>
        <v/>
      </c>
      <c r="Y25" s="22"/>
      <c r="Z25" s="23"/>
      <c r="AA25" s="22"/>
      <c r="AB25" s="23"/>
      <c r="AC25" s="24" t="str">
        <f>IFERROR(IF(OR(AND(Y25="Muy Baja",AA25="Leve"),AND(Y25="Muy Baja",AA25="Menor"),AND(Y25="Baja",AA25="Leve")),"Bajo",IF(OR(AND(Y25="Muy baja",AA25="Moderado"),AND(Y25="Baja",AA25="Menor"),AND(Y25="Baja",AA25="Moderado"),AND(Y25="Media",AA25="Leve"),AND(Y25="Media",AA25="Menor"),AND(Y25="Media",AA25="Moderado"),AND(Y25="Alta",AA25="Leve"),AND(Y25="Alta",AA25="Menor")),"Moderado",IF(OR(AND(Y25="Muy Baja",AA25="Mayor"),AND(Y25="Baja",AA25="Mayor"),AND(Y25="Media",AA25="Mayor"),AND(Y25="Alta",AA25="Moderado"),AND(Y25="Alta",AA25="Mayor"),AND(Y25="Muy Alta",AA25="Leve"),AND(Y25="Muy Alta",AA25="Menor"),AND(Y25="Muy Alta",AA25="Moderado"),AND(Y25="Muy Alta",AA25="Mayor")),"Alto",IF(OR(AND(Y25="Muy Baja",AA25="Catastrófico"),AND(Y25="Baja",AA25="Catastrófico"),AND(Y25="Media",AA25="Catastrófico"),AND(Y25="Alta",AA25="Catastrófico"),AND(Y25="Muy Alta",AA25="Catastrófico")),"Extremo","")))),"")</f>
        <v/>
      </c>
      <c r="AD25" s="33"/>
      <c r="AE25" s="126"/>
      <c r="AF25" s="126"/>
      <c r="AG25" s="129"/>
      <c r="AH25" s="129"/>
      <c r="AI25" s="132"/>
      <c r="AJ25" s="133"/>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row>
    <row r="26" spans="1:68" s="32" customFormat="1" ht="99" x14ac:dyDescent="0.25">
      <c r="A26" s="121"/>
      <c r="B26" s="122" t="s">
        <v>61</v>
      </c>
      <c r="C26" s="122" t="s">
        <v>130</v>
      </c>
      <c r="D26" s="122" t="s">
        <v>131</v>
      </c>
      <c r="E26" s="138" t="s">
        <v>132</v>
      </c>
      <c r="F26" s="9" t="s">
        <v>65</v>
      </c>
      <c r="G26" s="116">
        <v>50</v>
      </c>
      <c r="H26" s="116" t="str">
        <f t="shared" ref="H26" si="24">IF(G26&lt;=0,"",IF(G26&lt;=2,"Muy Baja",IF(G26&lt;=24,"Baja",IF(G26&lt;=500,"Media",IF(G26&lt;=5000,"Alta","Muy Alta")))))</f>
        <v>Media</v>
      </c>
      <c r="I26" s="124">
        <f>IF(H26="","",IF(H26="Muy Baja",0.2,IF(H26="Baja",0.4,IF(H26="Media",0.6,IF(H26="Alta",0.8,IF(H26="Muy Alta",1,))))))</f>
        <v>0.6</v>
      </c>
      <c r="J26" s="112" t="s">
        <v>133</v>
      </c>
      <c r="K26" s="114" t="str">
        <f>IF(NOT(ISERROR(MATCH(J26,'[5]Tabla Impacto'!$B$221:$B$223,0))),'[5]Tabla Impacto'!$F$223&amp;"Por favor no seleccionar los criterios de impacto(Afectación Económica o presupuestal y Pérdida Reputacional)",J26)</f>
        <v xml:space="preserve">     El riesgo afecta la imagen de de la entidad con efecto publicitario sostenido a nivel de sector administrativo, nivel departamental o municipal</v>
      </c>
      <c r="L26" s="116" t="str">
        <f>IF(OR(K26='[5]Tabla Impacto'!$C$11,K26='[5]Tabla Impacto'!$D$11),"Leve",IF(OR(K26='[5]Tabla Impacto'!$C$12,K26='[5]Tabla Impacto'!$D$12),"Menor",IF(OR(K26='[5]Tabla Impacto'!$C$13,K26='[5]Tabla Impacto'!$D$13),"Moderado",IF(OR(K26='[5]Tabla Impacto'!$C$14,K26='[5]Tabla Impacto'!$D$14),"Mayor",IF(OR(K26='[5]Tabla Impacto'!$C$15,K26='[5]Tabla Impacto'!$D$15),"Catastrófico","")))))</f>
        <v>Mayor</v>
      </c>
      <c r="M26" s="114">
        <f>IF(L26="","",IF(L26="Leve",0.2,IF(L26="Menor",0.4,IF(L26="Moderado",0.6,IF(L26="Mayor",0.8,IF(L26="Catastrófico",1,))))))</f>
        <v>0.8</v>
      </c>
      <c r="N26" s="118" t="str">
        <f>IF(OR(AND(H26="Muy Baja",L26="Leve"),AND(H26="Muy Baja",L26="Menor"),AND(H26="Baja",L26="Leve")),"Bajo",IF(OR(AND(H26="Muy baja",L26="Moderado"),AND(H26="Baja",L26="Menor"),AND(H26="Baja",L26="Moderado"),AND(H26="Media",L26="Leve"),AND(H26="Media",L26="Menor"),AND(H26="Media",L26="Moderado"),AND(H26="Alta",L26="Leve"),AND(H26="Alta",L26="Menor")),"Moderado",IF(OR(AND(H26="Muy Baja",L26="Mayor"),AND(H26="Baja",L26="Mayor"),AND(H26="Media",L26="Mayor"),AND(H26="Alta",L26="Moderado"),AND(H26="Alta",L26="Mayor"),AND(H26="Muy Alta",L26="Leve"),AND(H26="Muy Alta",L26="Menor"),AND(H26="Muy Alta",L26="Moderado"),AND(H26="Muy Alta",L26="Mayor")),"Alto",IF(OR(AND(H26="Muy Baja",L26="Catastrófico"),AND(H26="Baja",L26="Catastrófico"),AND(H26="Media",L26="Catastrófico"),AND(H26="Alta",L26="Catastrófico"),AND(H26="Muy Alta",L26="Catastrófico")),"Extremo",""))))</f>
        <v>Alto</v>
      </c>
      <c r="O26" s="16">
        <v>1</v>
      </c>
      <c r="P26" s="17" t="s">
        <v>134</v>
      </c>
      <c r="Q26" s="18"/>
      <c r="R26" s="19" t="s">
        <v>81</v>
      </c>
      <c r="S26" s="19" t="s">
        <v>68</v>
      </c>
      <c r="T26" s="20" t="str">
        <f>IF(AND(R26="Preventivo",S26="Automático"),"50%",IF(AND(R26="Preventivo",S26="Manual"),"40%",IF(AND(R26="Detectivo",S26="Automático"),"40%",IF(AND(R26="Detectivo",S26="Manual"),"30%",IF(AND(R26="Correctivo",S26="Automático"),"35%",IF(AND(R26="Correctivo",S26="Manual"),"25%",""))))))</f>
        <v>40%</v>
      </c>
      <c r="U26" s="19" t="s">
        <v>54</v>
      </c>
      <c r="V26" s="19" t="s">
        <v>70</v>
      </c>
      <c r="W26" s="19" t="s">
        <v>71</v>
      </c>
      <c r="X26" s="21" t="str">
        <f>IFERROR(IF(Q26="Probabilidad",(I26-(+I26*T26)),IF(Q26="Impacto",I26,"")),"")</f>
        <v/>
      </c>
      <c r="Y26" s="22" t="str">
        <f>IFERROR(IF(X26="","",IF(X26&lt;=0.2,"Muy Baja",IF(X26&lt;=0.4,"Baja",IF(X26&lt;=0.6,"Media",IF(X26&lt;=0.8,"Alta","Muy Alta"))))),"")</f>
        <v/>
      </c>
      <c r="Z26" s="23" t="str">
        <f>+X26</f>
        <v/>
      </c>
      <c r="AA26" s="22" t="str">
        <f>IFERROR(IF(AB26="","",IF(AB26&lt;=0.2,"Leve",IF(AB26&lt;=0.4,"Menor",IF(AB26&lt;=0.6,"Moderado",IF(AB26&lt;=0.8,"Mayor","Catastrófico"))))),"")</f>
        <v/>
      </c>
      <c r="AB26" s="23" t="str">
        <f>IFERROR(IF(Q26="Impacto",(M26-(+M26*T26)),IF(Q26="Probabilidad",M26,"")),"")</f>
        <v/>
      </c>
      <c r="AC26" s="24" t="str">
        <f>IFERROR(IF(OR(AND(Y26="Muy Baja",AA26="Leve"),AND(Y26="Muy Baja",AA26="Menor"),AND(Y26="Baja",AA26="Leve")),"Bajo",IF(OR(AND(Y26="Muy baja",AA26="Moderado"),AND(Y26="Baja",AA26="Menor"),AND(Y26="Baja",AA26="Moderado"),AND(Y26="Media",AA26="Leve"),AND(Y26="Media",AA26="Menor"),AND(Y26="Media",AA26="Moderado"),AND(Y26="Alta",AA26="Leve"),AND(Y26="Alta",AA26="Menor")),"Moderado",IF(OR(AND(Y26="Muy Baja",AA26="Mayor"),AND(Y26="Baja",AA26="Mayor"),AND(Y26="Media",AA26="Mayor"),AND(Y26="Alta",AA26="Moderado"),AND(Y26="Alta",AA26="Mayor"),AND(Y26="Muy Alta",AA26="Leve"),AND(Y26="Muy Alta",AA26="Menor"),AND(Y26="Muy Alta",AA26="Moderado"),AND(Y26="Muy Alta",AA26="Mayor")),"Alto",IF(OR(AND(Y26="Muy Baja",AA26="Catastrófico"),AND(Y26="Baja",AA26="Catastrófico"),AND(Y26="Media",AA26="Catastrófico"),AND(Y26="Alta",AA26="Catastrófico"),AND(Y26="Muy Alta",AA26="Catastrófico")),"Extremo","")))),"")</f>
        <v/>
      </c>
      <c r="AD26" s="25" t="s">
        <v>57</v>
      </c>
      <c r="AE26" s="26" t="s">
        <v>135</v>
      </c>
      <c r="AF26" s="26" t="s">
        <v>136</v>
      </c>
      <c r="AG26" s="27">
        <v>44865</v>
      </c>
      <c r="AH26" s="28">
        <f>+I26-(I26*T26)</f>
        <v>0.36</v>
      </c>
      <c r="AI26" s="29"/>
      <c r="AJ26" s="30" t="s">
        <v>60</v>
      </c>
      <c r="AK26" s="31"/>
      <c r="AL26" s="31"/>
      <c r="AM26" s="31"/>
      <c r="AN26" s="31"/>
      <c r="AO26" s="31"/>
      <c r="AP26" s="31"/>
      <c r="AQ26" s="31"/>
      <c r="AR26" s="31"/>
      <c r="AS26" s="31"/>
      <c r="AT26" s="31"/>
      <c r="AU26" s="31"/>
      <c r="AV26" s="31"/>
      <c r="AW26" s="31"/>
      <c r="AX26" s="31"/>
      <c r="AY26" s="31"/>
      <c r="AZ26" s="31"/>
      <c r="BA26" s="31"/>
      <c r="BB26" s="31"/>
      <c r="BC26" s="31"/>
      <c r="BD26" s="31"/>
      <c r="BE26" s="31"/>
      <c r="BF26" s="31"/>
      <c r="BG26" s="31"/>
      <c r="BH26" s="31"/>
      <c r="BI26" s="31"/>
      <c r="BJ26" s="31"/>
      <c r="BK26" s="31"/>
      <c r="BL26" s="31"/>
      <c r="BM26" s="31"/>
      <c r="BN26" s="31"/>
      <c r="BO26" s="31"/>
      <c r="BP26" s="31"/>
    </row>
    <row r="27" spans="1:68" ht="114.75" x14ac:dyDescent="0.3">
      <c r="A27" s="121"/>
      <c r="B27" s="123"/>
      <c r="C27" s="123"/>
      <c r="D27" s="123"/>
      <c r="E27" s="139"/>
      <c r="F27" s="51"/>
      <c r="G27" s="117"/>
      <c r="H27" s="117"/>
      <c r="I27" s="125"/>
      <c r="J27" s="113"/>
      <c r="K27" s="115">
        <f>IF(NOT(ISERROR(MATCH(J27,_xlfn.ANCHORARRAY(#REF!),0))),#REF!&amp;"Por favor no seleccionar los criterios de impacto",J27)</f>
        <v>0</v>
      </c>
      <c r="L27" s="117"/>
      <c r="M27" s="115"/>
      <c r="N27" s="119"/>
      <c r="O27" s="16">
        <v>2</v>
      </c>
      <c r="P27" s="17" t="s">
        <v>137</v>
      </c>
      <c r="Q27" s="18" t="str">
        <f>IF(OR(R27="Preventivo",R27="Detectivo"),"Probabilidad",IF(R27="Correctivo","Impacto",""))</f>
        <v>Probabilidad</v>
      </c>
      <c r="R27" s="19" t="s">
        <v>52</v>
      </c>
      <c r="S27" s="19" t="s">
        <v>53</v>
      </c>
      <c r="T27" s="20" t="str">
        <f t="shared" ref="T27" si="25">IF(AND(R27="Preventivo",S27="Automático"),"50%",IF(AND(R27="Preventivo",S27="Manual"),"40%",IF(AND(R27="Detectivo",S27="Automático"),"40%",IF(AND(R27="Detectivo",S27="Manual"),"30%",IF(AND(R27="Correctivo",S27="Automático"),"35%",IF(AND(R27="Correctivo",S27="Manual"),"25%",""))))))</f>
        <v>40%</v>
      </c>
      <c r="U27" s="19" t="s">
        <v>54</v>
      </c>
      <c r="V27" s="19" t="s">
        <v>55</v>
      </c>
      <c r="W27" s="19" t="s">
        <v>56</v>
      </c>
      <c r="X27" s="21">
        <f>IFERROR(IF(AND(Q26="Probabilidad",Q27="Probabilidad"),(Z26-(+Z26*T27)),IF(Q27="Probabilidad",(I26-(+I26*T27)),IF(Q27="Impacto",Z26,""))),"")</f>
        <v>0.36</v>
      </c>
      <c r="Y27" s="22" t="str">
        <f t="shared" ref="Y27" si="26">IFERROR(IF(X27="","",IF(X27&lt;=0.2,"Muy Baja",IF(X27&lt;=0.4,"Baja",IF(X27&lt;=0.6,"Media",IF(X27&lt;=0.8,"Alta","Muy Alta"))))),"")</f>
        <v>Baja</v>
      </c>
      <c r="Z27" s="23">
        <f t="shared" ref="Z27" si="27">+X27</f>
        <v>0.36</v>
      </c>
      <c r="AA27" s="22" t="str">
        <f t="shared" ref="AA27" si="28">IFERROR(IF(AB27="","",IF(AB27&lt;=0.2,"Leve",IF(AB27&lt;=0.4,"Menor",IF(AB27&lt;=0.6,"Moderado",IF(AB27&lt;=0.8,"Mayor","Catastrófico"))))),"")</f>
        <v/>
      </c>
      <c r="AB27" s="23" t="str">
        <f>IFERROR(IF(AND(Q26="Impacto",Q27="Impacto"),(AB26-(+AB26*T27)),IF(Q27="Impacto",(M26-(+M26*T27)),IF(Q27="Probabilidad",AB26,""))),"")</f>
        <v/>
      </c>
      <c r="AC27" s="24" t="str">
        <f t="shared" ref="AC27" si="29">IFERROR(IF(OR(AND(Y27="Muy Baja",AA27="Leve"),AND(Y27="Muy Baja",AA27="Menor"),AND(Y27="Baja",AA27="Leve")),"Bajo",IF(OR(AND(Y27="Muy baja",AA27="Moderado"),AND(Y27="Baja",AA27="Menor"),AND(Y27="Baja",AA27="Moderado"),AND(Y27="Media",AA27="Leve"),AND(Y27="Media",AA27="Menor"),AND(Y27="Media",AA27="Moderado"),AND(Y27="Alta",AA27="Leve"),AND(Y27="Alta",AA27="Menor")),"Moderado",IF(OR(AND(Y27="Muy Baja",AA27="Mayor"),AND(Y27="Baja",AA27="Mayor"),AND(Y27="Media",AA27="Mayor"),AND(Y27="Alta",AA27="Moderado"),AND(Y27="Alta",AA27="Mayor"),AND(Y27="Muy Alta",AA27="Leve"),AND(Y27="Muy Alta",AA27="Menor"),AND(Y27="Muy Alta",AA27="Moderado"),AND(Y27="Muy Alta",AA27="Mayor")),"Alto",IF(OR(AND(Y27="Muy Baja",AA27="Catastrófico"),AND(Y27="Baja",AA27="Catastrófico"),AND(Y27="Media",AA27="Catastrófico"),AND(Y27="Alta",AA27="Catastrófico"),AND(Y27="Muy Alta",AA27="Catastrófico")),"Extremo","")))),"")</f>
        <v/>
      </c>
      <c r="AD27" s="33" t="s">
        <v>57</v>
      </c>
      <c r="AE27" s="26" t="s">
        <v>121</v>
      </c>
      <c r="AF27" s="26" t="s">
        <v>136</v>
      </c>
      <c r="AG27" s="27">
        <v>44895</v>
      </c>
      <c r="AH27" s="43"/>
      <c r="AI27" s="29"/>
      <c r="AJ27" s="30" t="s">
        <v>60</v>
      </c>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row>
    <row r="28" spans="1:68" ht="396" x14ac:dyDescent="0.3">
      <c r="A28" s="121"/>
      <c r="B28" s="60" t="s">
        <v>87</v>
      </c>
      <c r="C28" s="61"/>
      <c r="D28" s="9" t="s">
        <v>138</v>
      </c>
      <c r="E28" s="61"/>
      <c r="F28" s="61"/>
      <c r="G28" s="61"/>
      <c r="H28" s="61"/>
      <c r="I28" s="61"/>
      <c r="J28" s="61"/>
      <c r="K28" s="61"/>
      <c r="L28" s="61"/>
      <c r="M28" s="61"/>
      <c r="N28" s="61"/>
      <c r="O28" s="46">
        <v>1</v>
      </c>
      <c r="P28" s="17" t="s">
        <v>139</v>
      </c>
      <c r="Q28" s="18"/>
      <c r="R28" s="19" t="s">
        <v>52</v>
      </c>
      <c r="S28" s="19" t="s">
        <v>68</v>
      </c>
      <c r="T28" s="20" t="str">
        <f>IF(AND(R28="Preventivo",S28="Automático"),"50%",IF(AND(R28="Preventivo",S28="Manual"),"40%",IF(AND(R28="Detectivo",S28="Automático"),"40%",IF(AND(R28="Detectivo",S28="Manual"),"30%",IF(AND(R28="Correctivo",S28="Automático"),"35%",IF(AND(R28="Correctivo",S28="Manual"),"25%",""))))))</f>
        <v>30%</v>
      </c>
      <c r="U28" s="19" t="s">
        <v>54</v>
      </c>
      <c r="V28" s="19" t="s">
        <v>55</v>
      </c>
      <c r="W28" s="19" t="s">
        <v>56</v>
      </c>
      <c r="X28" s="38" t="str">
        <f>IFERROR(IF(Q28="Probabilidad",(I28-(+I28*T28)),IF(Q28="Impacto",I28,"")),"")</f>
        <v/>
      </c>
      <c r="Y28" s="22" t="str">
        <f>IFERROR(IF(X28="","",IF(X28&lt;=0.2,"Muy Baja",IF(X28&lt;=0.4,"Baja",IF(X28&lt;=0.6,"Media",IF(X28&lt;=0.8,"Alta","Muy Alta"))))),"")</f>
        <v/>
      </c>
      <c r="Z28" s="23" t="str">
        <f>+X28</f>
        <v/>
      </c>
      <c r="AA28" s="22" t="str">
        <f>IFERROR(IF(AB28="","",IF(AB28&lt;=0.2,"Leve",IF(AB28&lt;=0.4,"Menor",IF(AB28&lt;=0.6,"Moderado",IF(AB28&lt;=0.8,"Mayor","Catastrófico"))))),"")</f>
        <v/>
      </c>
      <c r="AB28" s="23" t="str">
        <f>IFERROR(IF(Q28="Impacto",(M28-(+M28*T28)),IF(Q28="Probabilidad",M28,"")),"")</f>
        <v/>
      </c>
      <c r="AC28" s="24" t="str">
        <f>IFERROR(IF(OR(AND(Y28="Muy Baja",AA28="Leve"),AND(Y28="Muy Baja",AA28="Menor"),AND(Y28="Baja",AA28="Leve")),"Bajo",IF(OR(AND(Y28="Muy baja",AA28="Moderado"),AND(Y28="Baja",AA28="Menor"),AND(Y28="Baja",AA28="Moderado"),AND(Y28="Media",AA28="Leve"),AND(Y28="Media",AA28="Menor"),AND(Y28="Media",AA28="Moderado"),AND(Y28="Alta",AA28="Leve"),AND(Y28="Alta",AA28="Menor")),"Moderado",IF(OR(AND(Y28="Muy Baja",AA28="Mayor"),AND(Y28="Baja",AA28="Mayor"),AND(Y28="Media",AA28="Mayor"),AND(Y28="Alta",AA28="Moderado"),AND(Y28="Alta",AA28="Mayor"),AND(Y28="Muy Alta",AA28="Leve"),AND(Y28="Muy Alta",AA28="Menor"),AND(Y28="Muy Alta",AA28="Moderado"),AND(Y28="Muy Alta",AA28="Mayor")),"Alto",IF(OR(AND(Y28="Muy Baja",AA28="Catastrófico"),AND(Y28="Baja",AA28="Catastrófico"),AND(Y28="Media",AA28="Catastrófico"),AND(Y28="Alta",AA28="Catastrófico"),AND(Y28="Muy Alta",AA28="Catastrófico")),"Extremo","")))),"")</f>
        <v/>
      </c>
      <c r="AD28" s="33" t="s">
        <v>57</v>
      </c>
      <c r="AE28" s="61"/>
      <c r="AF28" s="61"/>
      <c r="AG28" s="61"/>
      <c r="AH28" s="61"/>
      <c r="AI28" s="61"/>
      <c r="AJ28" s="62"/>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row>
    <row r="29" spans="1:68" s="32" customFormat="1" ht="167.25" customHeight="1" x14ac:dyDescent="0.25">
      <c r="A29" s="121"/>
      <c r="B29" s="122" t="s">
        <v>61</v>
      </c>
      <c r="C29" s="122" t="s">
        <v>140</v>
      </c>
      <c r="D29" s="122" t="s">
        <v>141</v>
      </c>
      <c r="E29" s="138" t="s">
        <v>142</v>
      </c>
      <c r="F29" s="122" t="s">
        <v>65</v>
      </c>
      <c r="G29" s="124">
        <v>10</v>
      </c>
      <c r="H29" s="116" t="str">
        <f>IF(G29&lt;=0,"",IF(G29&lt;=2,"Muy Baja",IF(G29&lt;=24,"Baja",IF(G29&lt;=500,"Media",IF(G29&lt;=5000,"Alta","Muy Alta")))))</f>
        <v>Baja</v>
      </c>
      <c r="I29" s="114">
        <f>IF(H29="","",IF(H29="Muy Baja",0.2,IF(H29="Baja",0.4,IF(H29="Media",0.6,IF(H29="Alta",0.8,IF(H29="Muy Alta",1,))))))</f>
        <v>0.4</v>
      </c>
      <c r="J29" s="112" t="s">
        <v>96</v>
      </c>
      <c r="K29" s="114" t="str">
        <f>IF(NOT(ISERROR(MATCH(J29,'[6]Tabla Impacto'!$B$221:$B$223,0))),'[6]Tabla Impacto'!$F$223&amp;"Por favor no seleccionar los criterios de impacto(Afectación Económica o presupuestal y Pérdida Reputacional)",J29)</f>
        <v xml:space="preserve">     El riesgo afecta la imagen de la entidad internamente, de conocimiento general, nivel interno, de junta dircetiva y accionistas y/o de provedores</v>
      </c>
      <c r="L29" s="116" t="str">
        <f>IF(OR(K29='[6]Tabla Impacto'!$C$11,K29='[6]Tabla Impacto'!$D$11),"Leve",IF(OR(K29='[6]Tabla Impacto'!$C$12,K29='[6]Tabla Impacto'!$D$12),"Menor",IF(OR(K29='[6]Tabla Impacto'!$C$13,K29='[6]Tabla Impacto'!$D$13),"Moderado",IF(OR(K29='[6]Tabla Impacto'!$C$14,K29='[6]Tabla Impacto'!$D$14),"Mayor",IF(OR(K29='[6]Tabla Impacto'!$C$15,K29='[6]Tabla Impacto'!$D$15),"Catastrófico","")))))</f>
        <v>Menor</v>
      </c>
      <c r="M29" s="114">
        <f>IF(L29="","",IF(L29="Leve",0.2,IF(L29="Menor",0.4,IF(L29="Moderado",0.6,IF(L29="Mayor",0.8,IF(L29="Catastrófico",1,))))))</f>
        <v>0.4</v>
      </c>
      <c r="N29" s="118" t="str">
        <f>IF(OR(AND(H29="Muy Baja",L29="Leve"),AND(H29="Muy Baja",L29="Menor"),AND(H29="Baja",L29="Leve")),"Bajo",IF(OR(AND(H29="Muy baja",L29="Moderado"),AND(H29="Baja",L29="Menor"),AND(H29="Baja",L29="Moderado"),AND(H29="Media",L29="Leve"),AND(H29="Media",L29="Menor"),AND(H29="Media",L29="Moderado"),AND(H29="Alta",L29="Leve"),AND(H29="Alta",L29="Menor")),"Moderado",IF(OR(AND(H29="Muy Baja",L29="Mayor"),AND(H29="Baja",L29="Mayor"),AND(H29="Media",L29="Mayor"),AND(H29="Alta",L29="Moderado"),AND(H29="Alta",L29="Mayor"),AND(H29="Muy Alta",L29="Leve"),AND(H29="Muy Alta",L29="Menor"),AND(H29="Muy Alta",L29="Moderado"),AND(H29="Muy Alta",L29="Mayor")),"Alto",IF(OR(AND(H29="Muy Baja",L29="Catastrófico"),AND(H29="Baja",L29="Catastrófico"),AND(H29="Media",L29="Catastrófico"),AND(H29="Alta",L29="Catastrófico"),AND(H29="Muy Alta",L29="Catastrófico")),"Extremo",""))))</f>
        <v>Moderado</v>
      </c>
      <c r="O29" s="16">
        <v>1</v>
      </c>
      <c r="P29" s="72" t="s">
        <v>143</v>
      </c>
      <c r="Q29" s="18" t="str">
        <f>IF(OR(R29="Preventivo",R29="Detectivo"),"Probabilidad",IF(R29="Correctivo","Impacto",""))</f>
        <v>Probabilidad</v>
      </c>
      <c r="R29" s="19" t="s">
        <v>81</v>
      </c>
      <c r="S29" s="19" t="s">
        <v>68</v>
      </c>
      <c r="T29" s="20" t="str">
        <f>IF(AND(R29="Preventivo",S29="Automático"),"50%",IF(AND(R29="Preventivo",S29="Manual"),"40%",IF(AND(R29="Detectivo",S29="Automático"),"40%",IF(AND(R29="Detectivo",S29="Manual"),"30%",IF(AND(R29="Correctivo",S29="Automático"),"35%",IF(AND(R29="Correctivo",S29="Manual"),"25%",""))))))</f>
        <v>40%</v>
      </c>
      <c r="U29" s="19" t="s">
        <v>54</v>
      </c>
      <c r="V29" s="19" t="s">
        <v>55</v>
      </c>
      <c r="W29" s="19" t="s">
        <v>56</v>
      </c>
      <c r="X29" s="21">
        <f>IFERROR(IF(Q29="Probabilidad",(I29-(+I29*T29)),IF(Q29="Impacto",I29,"")),"")</f>
        <v>0.24</v>
      </c>
      <c r="Y29" s="22" t="str">
        <f>IFERROR(IF(X29="","",IF(X29&lt;=0.2,"Muy Baja",IF(X29&lt;=0.4,"Baja",IF(X29&lt;=0.6,"Media",IF(X29&lt;=0.8,"Alta","Muy Alta"))))),"")</f>
        <v>Baja</v>
      </c>
      <c r="Z29" s="23">
        <f>+X29</f>
        <v>0.24</v>
      </c>
      <c r="AA29" s="22" t="str">
        <f>IFERROR(IF(AB29="","",IF(AB29&lt;=0.2,"Leve",IF(AB29&lt;=0.4,"Menor",IF(AB29&lt;=0.6,"Moderado",IF(AB29&lt;=0.8,"Mayor","Catastrófico"))))),"")</f>
        <v>Menor</v>
      </c>
      <c r="AB29" s="23">
        <f>IFERROR(IF(Q29="Impacto",(M29-(+M29*T29)),IF(Q29="Probabilidad",M29,"")),"")</f>
        <v>0.4</v>
      </c>
      <c r="AC29" s="24" t="str">
        <f>IFERROR(IF(OR(AND(Y29="Muy Baja",AA29="Leve"),AND(Y29="Muy Baja",AA29="Menor"),AND(Y29="Baja",AA29="Leve")),"Bajo",IF(OR(AND(Y29="Muy baja",AA29="Moderado"),AND(Y29="Baja",AA29="Menor"),AND(Y29="Baja",AA29="Moderado"),AND(Y29="Media",AA29="Leve"),AND(Y29="Media",AA29="Menor"),AND(Y29="Media",AA29="Moderado"),AND(Y29="Alta",AA29="Leve"),AND(Y29="Alta",AA29="Menor")),"Moderado",IF(OR(AND(Y29="Muy Baja",AA29="Mayor"),AND(Y29="Baja",AA29="Mayor"),AND(Y29="Media",AA29="Mayor"),AND(Y29="Alta",AA29="Moderado"),AND(Y29="Alta",AA29="Mayor"),AND(Y29="Muy Alta",AA29="Leve"),AND(Y29="Muy Alta",AA29="Menor"),AND(Y29="Muy Alta",AA29="Moderado"),AND(Y29="Muy Alta",AA29="Mayor")),"Alto",IF(OR(AND(Y29="Muy Baja",AA29="Catastrófico"),AND(Y29="Baja",AA29="Catastrófico"),AND(Y29="Media",AA29="Catastrófico"),AND(Y29="Alta",AA29="Catastrófico"),AND(Y29="Muy Alta",AA29="Catastrófico")),"Extremo","")))),"")</f>
        <v>Moderado</v>
      </c>
      <c r="AD29" s="25" t="s">
        <v>57</v>
      </c>
      <c r="AE29" s="17" t="s">
        <v>144</v>
      </c>
      <c r="AF29" s="26" t="s">
        <v>145</v>
      </c>
      <c r="AG29" s="27">
        <v>44742</v>
      </c>
      <c r="AH29" s="73">
        <f>+I29-(I29*T29)</f>
        <v>0.24</v>
      </c>
      <c r="AI29" s="29"/>
      <c r="AJ29" s="30" t="s">
        <v>60</v>
      </c>
      <c r="AK29" s="31"/>
      <c r="AL29" s="31"/>
      <c r="AM29" s="31"/>
      <c r="AN29" s="31"/>
      <c r="AO29" s="31"/>
      <c r="AP29" s="31"/>
      <c r="AQ29" s="31"/>
      <c r="AR29" s="31"/>
      <c r="AS29" s="31"/>
      <c r="AT29" s="31"/>
      <c r="AU29" s="31"/>
      <c r="AV29" s="31"/>
      <c r="AW29" s="31"/>
      <c r="AX29" s="31"/>
      <c r="AY29" s="31"/>
      <c r="AZ29" s="31"/>
      <c r="BA29" s="31"/>
      <c r="BB29" s="31"/>
      <c r="BC29" s="31"/>
      <c r="BD29" s="31"/>
      <c r="BE29" s="31"/>
      <c r="BF29" s="31"/>
      <c r="BG29" s="31"/>
      <c r="BH29" s="31"/>
      <c r="BI29" s="31"/>
      <c r="BJ29" s="31"/>
      <c r="BK29" s="31"/>
      <c r="BL29" s="31"/>
      <c r="BM29" s="31"/>
      <c r="BN29" s="31"/>
      <c r="BO29" s="31"/>
      <c r="BP29" s="31"/>
    </row>
    <row r="30" spans="1:68" ht="151.5" customHeight="1" x14ac:dyDescent="0.3">
      <c r="A30" s="121"/>
      <c r="B30" s="123"/>
      <c r="C30" s="123"/>
      <c r="D30" s="123"/>
      <c r="E30" s="139"/>
      <c r="F30" s="123"/>
      <c r="G30" s="125"/>
      <c r="H30" s="117"/>
      <c r="I30" s="115"/>
      <c r="J30" s="113"/>
      <c r="K30" s="115">
        <f>IF(NOT(ISERROR(MATCH(J30,_xlfn.ANCHORARRAY(E35),0))),I37&amp;"Por favor no seleccionar los criterios de impacto",J30)</f>
        <v>0</v>
      </c>
      <c r="L30" s="117"/>
      <c r="M30" s="115"/>
      <c r="N30" s="119"/>
      <c r="O30" s="16">
        <v>2</v>
      </c>
      <c r="P30" s="17" t="s">
        <v>146</v>
      </c>
      <c r="Q30" s="18" t="str">
        <f>IF(OR(R30="Preventivo",R30="Detectivo"),"Probabilidad",IF(R30="Correctivo","Impacto",""))</f>
        <v>Probabilidad</v>
      </c>
      <c r="R30" s="19" t="s">
        <v>81</v>
      </c>
      <c r="S30" s="19" t="s">
        <v>68</v>
      </c>
      <c r="T30" s="20" t="str">
        <f t="shared" ref="T30" si="30">IF(AND(R30="Preventivo",S30="Automático"),"50%",IF(AND(R30="Preventivo",S30="Manual"),"40%",IF(AND(R30="Detectivo",S30="Automático"),"40%",IF(AND(R30="Detectivo",S30="Manual"),"30%",IF(AND(R30="Correctivo",S30="Automático"),"35%",IF(AND(R30="Correctivo",S30="Manual"),"25%",""))))))</f>
        <v>40%</v>
      </c>
      <c r="U30" s="19" t="s">
        <v>54</v>
      </c>
      <c r="V30" s="19" t="s">
        <v>55</v>
      </c>
      <c r="W30" s="19" t="s">
        <v>56</v>
      </c>
      <c r="X30" s="21">
        <f>IFERROR(IF(AND(Q29="Probabilidad",Q30="Probabilidad"),(Z29-(+Z29*T30)),IF(Q30="Probabilidad",(I29-(+I29*T30)),IF(Q30="Impacto",Z29,""))),"")</f>
        <v>0.14399999999999999</v>
      </c>
      <c r="Y30" s="22" t="str">
        <f t="shared" ref="Y30:Y76" si="31">IFERROR(IF(X30="","",IF(X30&lt;=0.2,"Muy Baja",IF(X30&lt;=0.4,"Baja",IF(X30&lt;=0.6,"Media",IF(X30&lt;=0.8,"Alta","Muy Alta"))))),"")</f>
        <v>Muy Baja</v>
      </c>
      <c r="Z30" s="23">
        <f t="shared" ref="Z30" si="32">+X30</f>
        <v>0.14399999999999999</v>
      </c>
      <c r="AA30" s="22" t="str">
        <f>IFERROR(IF(AB30="","",IF(AB30&lt;=0.2,"Leve",IF(AB30&lt;=0.4,"Menor",IF(AB30&lt;=0.6,"Moderado",IF(AB30&lt;=0.8,"Mayor","Catastrófico"))))),"")</f>
        <v>Menor</v>
      </c>
      <c r="AB30" s="23">
        <f>IFERROR(IF(AND(Q29="Impacto",Q30="Impacto"),(AB29-(+AB29*T30)),IF(Q30="Impacto",(M29-(+M29*T30)),IF(Q30="Probabilidad",AB29,""))),"")</f>
        <v>0.4</v>
      </c>
      <c r="AC30" s="24" t="str">
        <f t="shared" ref="AC30" si="33">IFERROR(IF(OR(AND(Y30="Muy Baja",AA30="Leve"),AND(Y30="Muy Baja",AA30="Menor"),AND(Y30="Baja",AA30="Leve")),"Bajo",IF(OR(AND(Y30="Muy baja",AA30="Moderado"),AND(Y30="Baja",AA30="Menor"),AND(Y30="Baja",AA30="Moderado"),AND(Y30="Media",AA30="Leve"),AND(Y30="Media",AA30="Menor"),AND(Y30="Media",AA30="Moderado"),AND(Y30="Alta",AA30="Leve"),AND(Y30="Alta",AA30="Menor")),"Moderado",IF(OR(AND(Y30="Muy Baja",AA30="Mayor"),AND(Y30="Baja",AA30="Mayor"),AND(Y30="Media",AA30="Mayor"),AND(Y30="Alta",AA30="Moderado"),AND(Y30="Alta",AA30="Mayor"),AND(Y30="Muy Alta",AA30="Leve"),AND(Y30="Muy Alta",AA30="Menor"),AND(Y30="Muy Alta",AA30="Moderado"),AND(Y30="Muy Alta",AA30="Mayor")),"Alto",IF(OR(AND(Y30="Muy Baja",AA30="Catastrófico"),AND(Y30="Baja",AA30="Catastrófico"),AND(Y30="Media",AA30="Catastrófico"),AND(Y30="Alta",AA30="Catastrófico"),AND(Y30="Muy Alta",AA30="Catastrófico")),"Extremo","")))),"")</f>
        <v>Bajo</v>
      </c>
      <c r="AD30" s="33" t="s">
        <v>57</v>
      </c>
      <c r="AE30" s="26" t="s">
        <v>147</v>
      </c>
      <c r="AF30" s="26" t="s">
        <v>145</v>
      </c>
      <c r="AG30" s="27">
        <v>44742</v>
      </c>
      <c r="AH30" s="73">
        <f>+I30-(I30*T30)</f>
        <v>0</v>
      </c>
      <c r="AI30" s="29"/>
      <c r="AJ30" s="30" t="s">
        <v>60</v>
      </c>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row>
    <row r="31" spans="1:68" ht="202.5" customHeight="1" x14ac:dyDescent="0.3">
      <c r="A31" s="121"/>
      <c r="B31" s="122" t="s">
        <v>61</v>
      </c>
      <c r="C31" s="122" t="s">
        <v>148</v>
      </c>
      <c r="D31" s="122" t="s">
        <v>149</v>
      </c>
      <c r="E31" s="134" t="s">
        <v>150</v>
      </c>
      <c r="F31" s="122" t="s">
        <v>65</v>
      </c>
      <c r="G31" s="124">
        <v>10</v>
      </c>
      <c r="H31" s="116" t="str">
        <f>IF(G31&lt;=0,"",IF(G31&lt;=2,"Muy Baja",IF(G31&lt;=24,"Baja",IF(G31&lt;=500,"Media",IF(G31&lt;=5000,"Alta","Muy Alta")))))</f>
        <v>Baja</v>
      </c>
      <c r="I31" s="114">
        <f>IF(H31="","",IF(H31="Muy Baja",0.2,IF(H31="Baja",0.4,IF(H31="Media",0.6,IF(H31="Alta",0.8,IF(H31="Muy Alta",1,))))))</f>
        <v>0.4</v>
      </c>
      <c r="J31" s="112" t="s">
        <v>96</v>
      </c>
      <c r="K31" s="136" t="str">
        <f>IF(NOT(ISERROR(MATCH(J31,'[6]Tabla Impacto'!$B$221:$B$223,0))),'[6]Tabla Impacto'!$F$223&amp;"Por favor no seleccionar los criterios de impacto(Afectación Económica o presupuestal y Pérdida Reputacional)",J31)</f>
        <v xml:space="preserve">     El riesgo afecta la imagen de la entidad internamente, de conocimiento general, nivel interno, de junta dircetiva y accionistas y/o de provedores</v>
      </c>
      <c r="L31" s="116" t="str">
        <f>IF(OR(K31='[6]Tabla Impacto'!$C$11,K31='[6]Tabla Impacto'!$D$11),"Leve",IF(OR(K31='[6]Tabla Impacto'!$C$12,K31='[6]Tabla Impacto'!$D$12),"Menor",IF(OR(K31='[6]Tabla Impacto'!$C$13,K31='[6]Tabla Impacto'!$D$13),"Moderado",IF(OR(K31='[6]Tabla Impacto'!$C$14,K31='[6]Tabla Impacto'!$D$14),"Mayor",IF(OR(K31='[6]Tabla Impacto'!$C$15,K31='[6]Tabla Impacto'!$D$15),"Catastrófico","")))))</f>
        <v>Menor</v>
      </c>
      <c r="M31" s="114">
        <f>IF(L31="","",IF(L31="Leve",0.2,IF(L31="Menor",0.4,IF(L31="Moderado",0.6,IF(L31="Mayor",0.8,IF(L31="Catastrófico",1,))))))</f>
        <v>0.4</v>
      </c>
      <c r="N31" s="118" t="str">
        <f>IF(OR(AND(H31="Muy Baja",L31="Leve"),AND(H31="Muy Baja",L31="Menor"),AND(H31="Baja",L31="Leve")),"Bajo",IF(OR(AND(H31="Muy baja",L31="Moderado"),AND(H31="Baja",L31="Menor"),AND(H31="Baja",L31="Moderado"),AND(H31="Media",L31="Leve"),AND(H31="Media",L31="Menor"),AND(H31="Media",L31="Moderado"),AND(H31="Alta",L31="Leve"),AND(H31="Alta",L31="Menor")),"Moderado",IF(OR(AND(H31="Muy Baja",L31="Mayor"),AND(H31="Baja",L31="Mayor"),AND(H31="Media",L31="Mayor"),AND(H31="Alta",L31="Moderado"),AND(H31="Alta",L31="Mayor"),AND(H31="Muy Alta",L31="Leve"),AND(H31="Muy Alta",L31="Menor"),AND(H31="Muy Alta",L31="Moderado"),AND(H31="Muy Alta",L31="Mayor")),"Alto",IF(OR(AND(H31="Muy Baja",L31="Catastrófico"),AND(H31="Baja",L31="Catastrófico"),AND(H31="Media",L31="Catastrófico"),AND(H31="Alta",L31="Catastrófico"),AND(H31="Muy Alta",L31="Catastrófico")),"Extremo",""))))</f>
        <v>Moderado</v>
      </c>
      <c r="O31" s="46">
        <v>1</v>
      </c>
      <c r="P31" s="17" t="s">
        <v>151</v>
      </c>
      <c r="Q31" s="18" t="str">
        <f>IF(OR(R31="Preventivo",R31="Detectivo"),"Probabilidad",IF(R31="Correctivo","Impacto",""))</f>
        <v>Impacto</v>
      </c>
      <c r="R31" s="19" t="s">
        <v>152</v>
      </c>
      <c r="S31" s="19" t="s">
        <v>68</v>
      </c>
      <c r="T31" s="20" t="str">
        <f>IF(AND(R31="Preventivo",S31="Automático"),"50%",IF(AND(R31="Preventivo",S31="Manual"),"40%",IF(AND(R31="Detectivo",S31="Automático"),"40%",IF(AND(R31="Detectivo",S31="Manual"),"30%",IF(AND(R31="Correctivo",S31="Automático"),"35%",IF(AND(R31="Correctivo",S31="Manual"),"25%",""))))))</f>
        <v>25%</v>
      </c>
      <c r="U31" s="19" t="s">
        <v>54</v>
      </c>
      <c r="V31" s="19" t="s">
        <v>55</v>
      </c>
      <c r="W31" s="19" t="s">
        <v>56</v>
      </c>
      <c r="X31" s="38">
        <f>IFERROR(IF(Q31="Probabilidad",(I31-(+I31*T31)),IF(Q31="Impacto",I31,"")),"")</f>
        <v>0.4</v>
      </c>
      <c r="Y31" s="22" t="str">
        <f>IFERROR(IF(X31="","",IF(X31&lt;=0.2,"Muy Baja",IF(X31&lt;=0.4,"Baja",IF(X31&lt;=0.6,"Media",IF(X31&lt;=0.8,"Alta","Muy Alta"))))),"")</f>
        <v>Baja</v>
      </c>
      <c r="Z31" s="23">
        <f>+X31</f>
        <v>0.4</v>
      </c>
      <c r="AA31" s="22" t="str">
        <f>IFERROR(IF(AB31="","",IF(AB31&lt;=0.2,"Leve",IF(AB31&lt;=0.4,"Menor",IF(AB31&lt;=0.6,"Moderado",IF(AB31&lt;=0.8,"Mayor","Catastrófico"))))),"")</f>
        <v>Menor</v>
      </c>
      <c r="AB31" s="23">
        <f>IFERROR(IF(Q31="Impacto",(M31-(+M31*T31)),IF(Q31="Probabilidad",M31,"")),"")</f>
        <v>0.30000000000000004</v>
      </c>
      <c r="AC31" s="24" t="str">
        <f>IFERROR(IF(OR(AND(Y31="Muy Baja",AA31="Leve"),AND(Y31="Muy Baja",AA31="Menor"),AND(Y31="Baja",AA31="Leve")),"Bajo",IF(OR(AND(Y31="Muy baja",AA31="Moderado"),AND(Y31="Baja",AA31="Menor"),AND(Y31="Baja",AA31="Moderado"),AND(Y31="Media",AA31="Leve"),AND(Y31="Media",AA31="Menor"),AND(Y31="Media",AA31="Moderado"),AND(Y31="Alta",AA31="Leve"),AND(Y31="Alta",AA31="Menor")),"Moderado",IF(OR(AND(Y31="Muy Baja",AA31="Mayor"),AND(Y31="Baja",AA31="Mayor"),AND(Y31="Media",AA31="Mayor"),AND(Y31="Alta",AA31="Moderado"),AND(Y31="Alta",AA31="Mayor"),AND(Y31="Muy Alta",AA31="Leve"),AND(Y31="Muy Alta",AA31="Menor"),AND(Y31="Muy Alta",AA31="Moderado"),AND(Y31="Muy Alta",AA31="Mayor")),"Alto",IF(OR(AND(Y31="Muy Baja",AA31="Catastrófico"),AND(Y31="Baja",AA31="Catastrófico"),AND(Y31="Media",AA31="Catastrófico"),AND(Y31="Alta",AA31="Catastrófico"),AND(Y31="Muy Alta",AA31="Catastrófico")),"Extremo","")))),"")</f>
        <v>Moderado</v>
      </c>
      <c r="AD31" s="33" t="s">
        <v>57</v>
      </c>
      <c r="AE31" s="122" t="s">
        <v>153</v>
      </c>
      <c r="AF31" s="122" t="s">
        <v>154</v>
      </c>
      <c r="AG31" s="127">
        <v>44742</v>
      </c>
      <c r="AH31" s="127"/>
      <c r="AI31" s="130"/>
      <c r="AJ31" s="124" t="s">
        <v>60</v>
      </c>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row>
    <row r="32" spans="1:68" ht="191.25" customHeight="1" x14ac:dyDescent="0.3">
      <c r="A32" s="121"/>
      <c r="B32" s="123"/>
      <c r="C32" s="123"/>
      <c r="D32" s="123"/>
      <c r="E32" s="135"/>
      <c r="F32" s="123"/>
      <c r="G32" s="125"/>
      <c r="H32" s="117"/>
      <c r="I32" s="115"/>
      <c r="J32" s="113"/>
      <c r="K32" s="137">
        <f>IF(NOT(ISERROR(MATCH(J32,_xlfn.ANCHORARRAY(E41),0))),I43&amp;"Por favor no seleccionar los criterios de impacto",J32)</f>
        <v>0</v>
      </c>
      <c r="L32" s="117"/>
      <c r="M32" s="115"/>
      <c r="N32" s="119"/>
      <c r="O32" s="46">
        <v>2</v>
      </c>
      <c r="P32" s="17" t="s">
        <v>155</v>
      </c>
      <c r="Q32" s="18" t="str">
        <f>IF(OR(R32="Preventivo",R32="Detectivo"),"Probabilidad",IF(R32="Correctivo","Impacto",""))</f>
        <v>Probabilidad</v>
      </c>
      <c r="R32" s="19" t="s">
        <v>81</v>
      </c>
      <c r="S32" s="19" t="s">
        <v>68</v>
      </c>
      <c r="T32" s="20" t="str">
        <f t="shared" ref="T32:T34" si="34">IF(AND(R32="Preventivo",S32="Automático"),"50%",IF(AND(R32="Preventivo",S32="Manual"),"40%",IF(AND(R32="Detectivo",S32="Automático"),"40%",IF(AND(R32="Detectivo",S32="Manual"),"30%",IF(AND(R32="Correctivo",S32="Automático"),"35%",IF(AND(R32="Correctivo",S32="Manual"),"25%",""))))))</f>
        <v>40%</v>
      </c>
      <c r="U32" s="19" t="s">
        <v>54</v>
      </c>
      <c r="V32" s="19" t="s">
        <v>70</v>
      </c>
      <c r="W32" s="19" t="s">
        <v>56</v>
      </c>
      <c r="X32" s="38">
        <f>IFERROR(IF(AND(Q31="Probabilidad",Q32="Probabilidad"),(Z31-(+Z31*T32)),IF(Q32="Probabilidad",(I31-(+I31*T32)),IF(Q32="Impacto",Z31,""))),"")</f>
        <v>0.24</v>
      </c>
      <c r="Y32" s="22" t="str">
        <f t="shared" si="31"/>
        <v>Baja</v>
      </c>
      <c r="Z32" s="23">
        <f t="shared" ref="Z32:Z34" si="35">+X32</f>
        <v>0.24</v>
      </c>
      <c r="AA32" s="22" t="str">
        <f t="shared" ref="AA32:AA76" si="36">IFERROR(IF(AB32="","",IF(AB32&lt;=0.2,"Leve",IF(AB32&lt;=0.4,"Menor",IF(AB32&lt;=0.6,"Moderado",IF(AB32&lt;=0.8,"Mayor","Catastrófico"))))),"")</f>
        <v>Menor</v>
      </c>
      <c r="AB32" s="23">
        <f>IFERROR(IF(AND(Q31="Impacto",Q32="Impacto"),(AB31-(+AB31*T32)),IF(Q32="Impacto",(M31-(+M31*T32)),IF(Q32="Probabilidad",AB31,""))),"")</f>
        <v>0.30000000000000004</v>
      </c>
      <c r="AC32" s="24" t="str">
        <f t="shared" ref="AC32:AC33" si="37">IFERROR(IF(OR(AND(Y32="Muy Baja",AA32="Leve"),AND(Y32="Muy Baja",AA32="Menor"),AND(Y32="Baja",AA32="Leve")),"Bajo",IF(OR(AND(Y32="Muy baja",AA32="Moderado"),AND(Y32="Baja",AA32="Menor"),AND(Y32="Baja",AA32="Moderado"),AND(Y32="Media",AA32="Leve"),AND(Y32="Media",AA32="Menor"),AND(Y32="Media",AA32="Moderado"),AND(Y32="Alta",AA32="Leve"),AND(Y32="Alta",AA32="Menor")),"Moderado",IF(OR(AND(Y32="Muy Baja",AA32="Mayor"),AND(Y32="Baja",AA32="Mayor"),AND(Y32="Media",AA32="Mayor"),AND(Y32="Alta",AA32="Moderado"),AND(Y32="Alta",AA32="Mayor"),AND(Y32="Muy Alta",AA32="Leve"),AND(Y32="Muy Alta",AA32="Menor"),AND(Y32="Muy Alta",AA32="Moderado"),AND(Y32="Muy Alta",AA32="Mayor")),"Alto",IF(OR(AND(Y32="Muy Baja",AA32="Catastrófico"),AND(Y32="Baja",AA32="Catastrófico"),AND(Y32="Media",AA32="Catastrófico"),AND(Y32="Alta",AA32="Catastrófico"),AND(Y32="Muy Alta",AA32="Catastrófico")),"Extremo","")))),"")</f>
        <v>Moderado</v>
      </c>
      <c r="AD32" s="33" t="s">
        <v>57</v>
      </c>
      <c r="AE32" s="123"/>
      <c r="AF32" s="123"/>
      <c r="AG32" s="128"/>
      <c r="AH32" s="128"/>
      <c r="AI32" s="131"/>
      <c r="AJ32" s="125"/>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row>
    <row r="33" spans="1:68" ht="239.25" customHeight="1" x14ac:dyDescent="0.3">
      <c r="A33" s="121"/>
      <c r="B33" s="123"/>
      <c r="C33" s="123"/>
      <c r="D33" s="123"/>
      <c r="E33" s="135"/>
      <c r="F33" s="123"/>
      <c r="G33" s="125"/>
      <c r="H33" s="117"/>
      <c r="I33" s="115"/>
      <c r="J33" s="113"/>
      <c r="K33" s="137">
        <f>IF(NOT(ISERROR(MATCH(J33,_xlfn.ANCHORARRAY(E42),0))),I44&amp;"Por favor no seleccionar los criterios de impacto",J33)</f>
        <v>0</v>
      </c>
      <c r="L33" s="117"/>
      <c r="M33" s="115"/>
      <c r="N33" s="119"/>
      <c r="O33" s="46">
        <v>3</v>
      </c>
      <c r="P33" s="34" t="s">
        <v>156</v>
      </c>
      <c r="Q33" s="18" t="str">
        <f>IF(OR(R33="Preventivo",R33="Detectivo"),"Probabilidad",IF(R33="Correctivo","Impacto",""))</f>
        <v>Probabilidad</v>
      </c>
      <c r="R33" s="19" t="s">
        <v>81</v>
      </c>
      <c r="S33" s="19" t="s">
        <v>53</v>
      </c>
      <c r="T33" s="20" t="str">
        <f t="shared" si="34"/>
        <v>50%</v>
      </c>
      <c r="U33" s="19" t="s">
        <v>69</v>
      </c>
      <c r="V33" s="19" t="s">
        <v>70</v>
      </c>
      <c r="W33" s="19" t="s">
        <v>56</v>
      </c>
      <c r="X33" s="21">
        <f>IFERROR(IF(AND(Q32="Probabilidad",Q33="Probabilidad"),(Z32-(+Z32*T33)),IF(AND(Q32="Impacto",Q33="Probabilidad"),(Z31-(+Z31*T33)),IF(Q33="Impacto",Z32,""))),"")</f>
        <v>0.12</v>
      </c>
      <c r="Y33" s="22" t="str">
        <f t="shared" si="31"/>
        <v>Muy Baja</v>
      </c>
      <c r="Z33" s="23">
        <f t="shared" si="35"/>
        <v>0.12</v>
      </c>
      <c r="AA33" s="22" t="str">
        <f t="shared" si="36"/>
        <v>Menor</v>
      </c>
      <c r="AB33" s="23">
        <f>IFERROR(IF(AND(Q32="Impacto",Q33="Impacto"),(AB32-(+AB32*T33)),IF(AND(Q32="Probabilidad",Q33="Impacto"),(AB31-(+AB31*T33)),IF(Q33="Probabilidad",AB32,""))),"")</f>
        <v>0.30000000000000004</v>
      </c>
      <c r="AC33" s="24" t="str">
        <f t="shared" si="37"/>
        <v>Bajo</v>
      </c>
      <c r="AD33" s="33" t="s">
        <v>57</v>
      </c>
      <c r="AE33" s="123"/>
      <c r="AF33" s="123"/>
      <c r="AG33" s="128"/>
      <c r="AH33" s="128"/>
      <c r="AI33" s="131"/>
      <c r="AJ33" s="125"/>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row>
    <row r="34" spans="1:68" ht="243" customHeight="1" x14ac:dyDescent="0.3">
      <c r="A34" s="121"/>
      <c r="B34" s="123"/>
      <c r="C34" s="123"/>
      <c r="D34" s="123"/>
      <c r="E34" s="135"/>
      <c r="F34" s="123"/>
      <c r="G34" s="125"/>
      <c r="H34" s="117"/>
      <c r="I34" s="115"/>
      <c r="J34" s="113"/>
      <c r="K34" s="137">
        <f>IF(NOT(ISERROR(MATCH(J34,_xlfn.ANCHORARRAY(E43),0))),I45&amp;"Por favor no seleccionar los criterios de impacto",J34)</f>
        <v>0</v>
      </c>
      <c r="L34" s="117"/>
      <c r="M34" s="115"/>
      <c r="N34" s="119"/>
      <c r="O34" s="46">
        <v>4</v>
      </c>
      <c r="P34" s="34"/>
      <c r="Q34" s="18" t="str">
        <f t="shared" ref="Q34" si="38">IF(OR(R34="Preventivo",R34="Detectivo"),"Probabilidad",IF(R34="Correctivo","Impacto",""))</f>
        <v>Probabilidad</v>
      </c>
      <c r="R34" s="19" t="s">
        <v>81</v>
      </c>
      <c r="S34" s="19" t="s">
        <v>68</v>
      </c>
      <c r="T34" s="20" t="str">
        <f t="shared" si="34"/>
        <v>40%</v>
      </c>
      <c r="U34" s="19" t="s">
        <v>54</v>
      </c>
      <c r="V34" s="19" t="s">
        <v>55</v>
      </c>
      <c r="W34" s="19" t="s">
        <v>56</v>
      </c>
      <c r="X34" s="21">
        <f t="shared" ref="X34" si="39">IFERROR(IF(AND(Q33="Probabilidad",Q34="Probabilidad"),(Z33-(+Z33*T34)),IF(AND(Q33="Impacto",Q34="Probabilidad"),(Z32-(+Z32*T34)),IF(Q34="Impacto",Z33,""))),"")</f>
        <v>7.1999999999999995E-2</v>
      </c>
      <c r="Y34" s="22" t="str">
        <f t="shared" si="31"/>
        <v>Muy Baja</v>
      </c>
      <c r="Z34" s="23">
        <f t="shared" si="35"/>
        <v>7.1999999999999995E-2</v>
      </c>
      <c r="AA34" s="22" t="str">
        <f t="shared" si="36"/>
        <v>Menor</v>
      </c>
      <c r="AB34" s="23">
        <f t="shared" ref="AB34" si="40">IFERROR(IF(AND(Q33="Impacto",Q34="Impacto"),(AB33-(+AB33*T34)),IF(AND(Q33="Probabilidad",Q34="Impacto"),(AB32-(+AB32*T34)),IF(Q34="Probabilidad",AB33,""))),"")</f>
        <v>0.30000000000000004</v>
      </c>
      <c r="AC34" s="24" t="str">
        <f>IFERROR(IF(OR(AND(Y34="Muy Baja",AA34="Leve"),AND(Y34="Muy Baja",AA34="Menor"),AND(Y34="Baja",AA34="Leve")),"Bajo",IF(OR(AND(Y34="Muy baja",AA34="Moderado"),AND(Y34="Baja",AA34="Menor"),AND(Y34="Baja",AA34="Moderado"),AND(Y34="Media",AA34="Leve"),AND(Y34="Media",AA34="Menor"),AND(Y34="Media",AA34="Moderado"),AND(Y34="Alta",AA34="Leve"),AND(Y34="Alta",AA34="Menor")),"Moderado",IF(OR(AND(Y34="Muy Baja",AA34="Mayor"),AND(Y34="Baja",AA34="Mayor"),AND(Y34="Media",AA34="Mayor"),AND(Y34="Alta",AA34="Moderado"),AND(Y34="Alta",AA34="Mayor"),AND(Y34="Muy Alta",AA34="Leve"),AND(Y34="Muy Alta",AA34="Menor"),AND(Y34="Muy Alta",AA34="Moderado"),AND(Y34="Muy Alta",AA34="Mayor")),"Alto",IF(OR(AND(Y34="Muy Baja",AA34="Catastrófico"),AND(Y34="Baja",AA34="Catastrófico"),AND(Y34="Media",AA34="Catastrófico"),AND(Y34="Alta",AA34="Catastrófico"),AND(Y34="Muy Alta",AA34="Catastrófico")),"Extremo","")))),"")</f>
        <v>Bajo</v>
      </c>
      <c r="AD34" s="33" t="s">
        <v>57</v>
      </c>
      <c r="AE34" s="126"/>
      <c r="AF34" s="126"/>
      <c r="AG34" s="129"/>
      <c r="AH34" s="129"/>
      <c r="AI34" s="132"/>
      <c r="AJ34" s="133"/>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row>
    <row r="35" spans="1:68" ht="280.5" hidden="1" customHeight="1" x14ac:dyDescent="0.3">
      <c r="A35" s="121"/>
      <c r="B35" s="122" t="s">
        <v>45</v>
      </c>
      <c r="C35" s="122" t="s">
        <v>157</v>
      </c>
      <c r="D35" s="122" t="s">
        <v>158</v>
      </c>
      <c r="E35" s="138" t="s">
        <v>159</v>
      </c>
      <c r="F35" s="122" t="s">
        <v>65</v>
      </c>
      <c r="G35" s="124">
        <v>8168</v>
      </c>
      <c r="H35" s="116" t="str">
        <f>IF(G35&lt;=0,"",IF(G35&lt;=2,"Muy Baja",IF(G35&lt;=24,"Baja",IF(G35&lt;=500,"Media",IF(G35&lt;=5000,"Alta","Muy Alta")))))</f>
        <v>Muy Alta</v>
      </c>
      <c r="I35" s="114">
        <f>IF(H35="","",IF(H35="Muy Baja",0.2,IF(H35="Baja",0.4,IF(H35="Media",0.6,IF(H35="Alta",0.8,IF(H35="Muy Alta",1,))))))</f>
        <v>1</v>
      </c>
      <c r="J35" s="112" t="s">
        <v>100</v>
      </c>
      <c r="K35" s="136" t="str">
        <f>IF(NOT(ISERROR(MATCH(J35,'[6]Tabla Impacto'!$B$221:$B$223,0))),'[6]Tabla Impacto'!$F$223&amp;"Por favor no seleccionar los criterios de impacto(Afectación Económica o presupuestal y Pérdida Reputacional)",J35)</f>
        <v xml:space="preserve">     El riesgo afecta la imagen de la entidad con algunos usuarios de relevancia frente al logro de los objetivos</v>
      </c>
      <c r="L35" s="116" t="str">
        <f>IF(OR(K35='[6]Tabla Impacto'!$C$11,K35='[6]Tabla Impacto'!$D$11),"Leve",IF(OR(K35='[6]Tabla Impacto'!$C$12,K35='[6]Tabla Impacto'!$D$12),"Menor",IF(OR(K35='[6]Tabla Impacto'!$C$13,K35='[6]Tabla Impacto'!$D$13),"Moderado",IF(OR(K35='[6]Tabla Impacto'!$C$14,K35='[6]Tabla Impacto'!$D$14),"Mayor",IF(OR(K35='[6]Tabla Impacto'!$C$15,K35='[6]Tabla Impacto'!$D$15),"Catastrófico","")))))</f>
        <v>Moderado</v>
      </c>
      <c r="M35" s="114">
        <f>IF(L35="","",IF(L35="Leve",0.2,IF(L35="Menor",0.4,IF(L35="Moderado",0.6,IF(L35="Mayor",0.8,IF(L35="Catastrófico",1,))))))</f>
        <v>0.6</v>
      </c>
      <c r="N35" s="118" t="str">
        <f>IF(OR(AND(H35="Muy Baja",L35="Leve"),AND(H35="Muy Baja",L35="Menor"),AND(H35="Baja",L35="Leve")),"Bajo",IF(OR(AND(H35="Muy baja",L35="Moderado"),AND(H35="Baja",L35="Menor"),AND(H35="Baja",L35="Moderado"),AND(H35="Media",L35="Leve"),AND(H35="Media",L35="Menor"),AND(H35="Media",L35="Moderado"),AND(H35="Alta",L35="Leve"),AND(H35="Alta",L35="Menor")),"Moderado",IF(OR(AND(H35="Muy Baja",L35="Mayor"),AND(H35="Baja",L35="Mayor"),AND(H35="Media",L35="Mayor"),AND(H35="Alta",L35="Moderado"),AND(H35="Alta",L35="Mayor"),AND(H35="Muy Alta",L35="Leve"),AND(H35="Muy Alta",L35="Menor"),AND(H35="Muy Alta",L35="Moderado"),AND(H35="Muy Alta",L35="Mayor")),"Alto",IF(OR(AND(H35="Muy Baja",L35="Catastrófico"),AND(H35="Baja",L35="Catastrófico"),AND(H35="Media",L35="Catastrófico"),AND(H35="Alta",L35="Catastrófico"),AND(H35="Muy Alta",L35="Catastrófico")),"Extremo",""))))</f>
        <v>Alto</v>
      </c>
      <c r="O35" s="16">
        <v>1</v>
      </c>
      <c r="P35" s="17" t="s">
        <v>160</v>
      </c>
      <c r="Q35" s="18" t="str">
        <f>IF(OR(R35="Preventivo",R35="Detectivo"),"Probabilidad",IF(R35="Correctivo","Impacto",""))</f>
        <v>Impacto</v>
      </c>
      <c r="R35" s="19" t="s">
        <v>152</v>
      </c>
      <c r="S35" s="19" t="s">
        <v>68</v>
      </c>
      <c r="T35" s="20" t="str">
        <f>IF(AND(R35="Preventivo",S35="Automático"),"50%",IF(AND(R35="Preventivo",S35="Manual"),"40%",IF(AND(R35="Detectivo",S35="Automático"),"40%",IF(AND(R35="Detectivo",S35="Manual"),"30%",IF(AND(R35="Correctivo",S35="Automático"),"35%",IF(AND(R35="Correctivo",S35="Manual"),"25%",""))))))</f>
        <v>25%</v>
      </c>
      <c r="U35" s="19" t="s">
        <v>69</v>
      </c>
      <c r="V35" s="19" t="s">
        <v>70</v>
      </c>
      <c r="W35" s="19" t="s">
        <v>56</v>
      </c>
      <c r="X35" s="21">
        <f>IFERROR(IF(Q35="Probabilidad",(I35-(+I35*T35)),IF(Q35="Impacto",I35,"")),"")</f>
        <v>1</v>
      </c>
      <c r="Y35" s="22" t="str">
        <f>IFERROR(IF(X35="","",IF(X35&lt;=0.2,"Muy Baja",IF(X35&lt;=0.4,"Baja",IF(X35&lt;=0.6,"Media",IF(X35&lt;=0.8,"Alta","Muy Alta"))))),"")</f>
        <v>Muy Alta</v>
      </c>
      <c r="Z35" s="23">
        <f>+X35</f>
        <v>1</v>
      </c>
      <c r="AA35" s="22" t="str">
        <f>IFERROR(IF(AB35="","",IF(AB35&lt;=0.2,"Leve",IF(AB35&lt;=0.4,"Menor",IF(AB35&lt;=0.6,"Moderado",IF(AB35&lt;=0.8,"Mayor","Catastrófico"))))),"")</f>
        <v>Moderado</v>
      </c>
      <c r="AB35" s="23">
        <f>IFERROR(IF(Q35="Impacto",(M35-(+M35*T35)),IF(Q35="Probabilidad",M35,"")),"")</f>
        <v>0.44999999999999996</v>
      </c>
      <c r="AC35" s="24" t="str">
        <f>IFERROR(IF(OR(AND(Y35="Muy Baja",AA35="Leve"),AND(Y35="Muy Baja",AA35="Menor"),AND(Y35="Baja",AA35="Leve")),"Bajo",IF(OR(AND(Y35="Muy baja",AA35="Moderado"),AND(Y35="Baja",AA35="Menor"),AND(Y35="Baja",AA35="Moderado"),AND(Y35="Media",AA35="Leve"),AND(Y35="Media",AA35="Menor"),AND(Y35="Media",AA35="Moderado"),AND(Y35="Alta",AA35="Leve"),AND(Y35="Alta",AA35="Menor")),"Moderado",IF(OR(AND(Y35="Muy Baja",AA35="Mayor"),AND(Y35="Baja",AA35="Mayor"),AND(Y35="Media",AA35="Mayor"),AND(Y35="Alta",AA35="Moderado"),AND(Y35="Alta",AA35="Mayor"),AND(Y35="Muy Alta",AA35="Leve"),AND(Y35="Muy Alta",AA35="Menor"),AND(Y35="Muy Alta",AA35="Moderado"),AND(Y35="Muy Alta",AA35="Mayor")),"Alto",IF(OR(AND(Y35="Muy Baja",AA35="Catastrófico"),AND(Y35="Baja",AA35="Catastrófico"),AND(Y35="Media",AA35="Catastrófico"),AND(Y35="Alta",AA35="Catastrófico"),AND(Y35="Muy Alta",AA35="Catastrófico")),"Extremo","")))),"")</f>
        <v>Alto</v>
      </c>
      <c r="AD35" s="33" t="s">
        <v>57</v>
      </c>
      <c r="AE35" s="29" t="s">
        <v>161</v>
      </c>
      <c r="AF35" s="26" t="s">
        <v>162</v>
      </c>
      <c r="AG35" s="26"/>
      <c r="AH35" s="56" t="s">
        <v>163</v>
      </c>
      <c r="AI35" s="29"/>
      <c r="AJ35" s="30" t="s">
        <v>60</v>
      </c>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row>
    <row r="36" spans="1:68" ht="151.5" hidden="1" customHeight="1" x14ac:dyDescent="0.3">
      <c r="A36" s="121"/>
      <c r="B36" s="123"/>
      <c r="C36" s="123"/>
      <c r="D36" s="123"/>
      <c r="E36" s="139"/>
      <c r="F36" s="123"/>
      <c r="G36" s="125"/>
      <c r="H36" s="117"/>
      <c r="I36" s="115"/>
      <c r="J36" s="113"/>
      <c r="K36" s="137">
        <f t="shared" ref="K36:K40" si="41">IF(NOT(ISERROR(MATCH(J36,_xlfn.ANCHORARRAY(E47),0))),I49&amp;"Por favor no seleccionar los criterios de impacto",J36)</f>
        <v>0</v>
      </c>
      <c r="L36" s="117"/>
      <c r="M36" s="115"/>
      <c r="N36" s="119"/>
      <c r="O36" s="16">
        <v>2</v>
      </c>
      <c r="P36" s="55"/>
      <c r="Q36" s="35" t="str">
        <f>IF(OR(R36="Preventivo",R36="Detectivo"),"Probabilidad",IF(R36="Correctivo","Impacto",""))</f>
        <v/>
      </c>
      <c r="R36" s="36"/>
      <c r="S36" s="36"/>
      <c r="T36" s="37" t="str">
        <f t="shared" ref="T36:T40" si="42">IF(AND(R36="Preventivo",S36="Automático"),"50%",IF(AND(R36="Preventivo",S36="Manual"),"40%",IF(AND(R36="Detectivo",S36="Automático"),"40%",IF(AND(R36="Detectivo",S36="Manual"),"30%",IF(AND(R36="Correctivo",S36="Automático"),"35%",IF(AND(R36="Correctivo",S36="Manual"),"25%",""))))))</f>
        <v/>
      </c>
      <c r="U36" s="36"/>
      <c r="V36" s="36"/>
      <c r="W36" s="36"/>
      <c r="X36" s="57" t="str">
        <f>IFERROR(IF(AND(Q35="Probabilidad",Q36="Probabilidad"),(Z35-(+Z35*T36)),IF(Q36="Probabilidad",(I35-(+I35*T36)),IF(Q36="Impacto",Z35,""))),"")</f>
        <v/>
      </c>
      <c r="Y36" s="39" t="str">
        <f t="shared" si="31"/>
        <v/>
      </c>
      <c r="Z36" s="40" t="str">
        <f t="shared" ref="Z36:Z40" si="43">+X36</f>
        <v/>
      </c>
      <c r="AA36" s="39" t="str">
        <f t="shared" si="36"/>
        <v/>
      </c>
      <c r="AB36" s="40" t="str">
        <f>IFERROR(IF(AND(Q35="Impacto",Q36="Impacto"),(AB35-(+AB35*T36)),IF(Q36="Impacto",(M35-(+M35*T36)),IF(Q36="Probabilidad",AB35,""))),"")</f>
        <v/>
      </c>
      <c r="AC36" s="41" t="str">
        <f t="shared" ref="AC36:AC37" si="44">IFERROR(IF(OR(AND(Y36="Muy Baja",AA36="Leve"),AND(Y36="Muy Baja",AA36="Menor"),AND(Y36="Baja",AA36="Leve")),"Bajo",IF(OR(AND(Y36="Muy baja",AA36="Moderado"),AND(Y36="Baja",AA36="Menor"),AND(Y36="Baja",AA36="Moderado"),AND(Y36="Media",AA36="Leve"),AND(Y36="Media",AA36="Menor"),AND(Y36="Media",AA36="Moderado"),AND(Y36="Alta",AA36="Leve"),AND(Y36="Alta",AA36="Menor")),"Moderado",IF(OR(AND(Y36="Muy Baja",AA36="Mayor"),AND(Y36="Baja",AA36="Mayor"),AND(Y36="Media",AA36="Mayor"),AND(Y36="Alta",AA36="Moderado"),AND(Y36="Alta",AA36="Mayor"),AND(Y36="Muy Alta",AA36="Leve"),AND(Y36="Muy Alta",AA36="Menor"),AND(Y36="Muy Alta",AA36="Moderado"),AND(Y36="Muy Alta",AA36="Mayor")),"Alto",IF(OR(AND(Y36="Muy Baja",AA36="Catastrófico"),AND(Y36="Baja",AA36="Catastrófico"),AND(Y36="Media",AA36="Catastrófico"),AND(Y36="Alta",AA36="Catastrófico"),AND(Y36="Muy Alta",AA36="Catastrófico")),"Extremo","")))),"")</f>
        <v/>
      </c>
      <c r="AD36" s="25"/>
      <c r="AE36" s="29"/>
      <c r="AF36" s="42"/>
      <c r="AG36" s="43"/>
      <c r="AH36" s="43"/>
      <c r="AI36" s="29"/>
      <c r="AJ36" s="42"/>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row>
    <row r="37" spans="1:68" ht="151.5" hidden="1" customHeight="1" x14ac:dyDescent="0.3">
      <c r="A37" s="121"/>
      <c r="B37" s="123"/>
      <c r="C37" s="123"/>
      <c r="D37" s="123"/>
      <c r="E37" s="139"/>
      <c r="F37" s="123"/>
      <c r="G37" s="125"/>
      <c r="H37" s="117"/>
      <c r="I37" s="115"/>
      <c r="J37" s="113"/>
      <c r="K37" s="137">
        <f t="shared" si="41"/>
        <v>0</v>
      </c>
      <c r="L37" s="117"/>
      <c r="M37" s="115"/>
      <c r="N37" s="119"/>
      <c r="O37" s="16">
        <v>3</v>
      </c>
      <c r="P37" s="58"/>
      <c r="Q37" s="35" t="str">
        <f>IF(OR(R37="Preventivo",R37="Detectivo"),"Probabilidad",IF(R37="Correctivo","Impacto",""))</f>
        <v/>
      </c>
      <c r="R37" s="36"/>
      <c r="S37" s="36"/>
      <c r="T37" s="37" t="str">
        <f t="shared" si="42"/>
        <v/>
      </c>
      <c r="U37" s="36"/>
      <c r="V37" s="36"/>
      <c r="W37" s="36"/>
      <c r="X37" s="38" t="str">
        <f>IFERROR(IF(AND(Q36="Probabilidad",Q37="Probabilidad"),(Z36-(+Z36*T37)),IF(AND(Q36="Impacto",Q37="Probabilidad"),(Z35-(+Z35*T37)),IF(Q37="Impacto",Z36,""))),"")</f>
        <v/>
      </c>
      <c r="Y37" s="39" t="str">
        <f t="shared" si="31"/>
        <v/>
      </c>
      <c r="Z37" s="40" t="str">
        <f t="shared" si="43"/>
        <v/>
      </c>
      <c r="AA37" s="39" t="str">
        <f t="shared" si="36"/>
        <v/>
      </c>
      <c r="AB37" s="40" t="str">
        <f>IFERROR(IF(AND(Q36="Impacto",Q37="Impacto"),(AB36-(+AB36*T37)),IF(AND(Q36="Probabilidad",Q37="Impacto"),(AB35-(+AB35*T37)),IF(Q37="Probabilidad",AB36,""))),"")</f>
        <v/>
      </c>
      <c r="AC37" s="41" t="str">
        <f t="shared" si="44"/>
        <v/>
      </c>
      <c r="AD37" s="25"/>
      <c r="AE37" s="29"/>
      <c r="AF37" s="42"/>
      <c r="AG37" s="43"/>
      <c r="AH37" s="43"/>
      <c r="AI37" s="29"/>
      <c r="AJ37" s="42"/>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row>
    <row r="38" spans="1:68" ht="151.5" hidden="1" customHeight="1" x14ac:dyDescent="0.3">
      <c r="A38" s="121"/>
      <c r="B38" s="123"/>
      <c r="C38" s="123"/>
      <c r="D38" s="123"/>
      <c r="E38" s="139"/>
      <c r="F38" s="123"/>
      <c r="G38" s="125"/>
      <c r="H38" s="117"/>
      <c r="I38" s="115"/>
      <c r="J38" s="113"/>
      <c r="K38" s="137">
        <f t="shared" si="41"/>
        <v>0</v>
      </c>
      <c r="L38" s="117"/>
      <c r="M38" s="115"/>
      <c r="N38" s="119"/>
      <c r="O38" s="46">
        <v>4</v>
      </c>
      <c r="P38" s="55"/>
      <c r="Q38" s="35" t="str">
        <f t="shared" ref="Q38:Q40" si="45">IF(OR(R38="Preventivo",R38="Detectivo"),"Probabilidad",IF(R38="Correctivo","Impacto",""))</f>
        <v/>
      </c>
      <c r="R38" s="36"/>
      <c r="S38" s="36"/>
      <c r="T38" s="37" t="str">
        <f t="shared" si="42"/>
        <v/>
      </c>
      <c r="U38" s="36"/>
      <c r="V38" s="36"/>
      <c r="W38" s="36"/>
      <c r="X38" s="38" t="str">
        <f t="shared" ref="X38:X40" si="46">IFERROR(IF(AND(Q37="Probabilidad",Q38="Probabilidad"),(Z37-(+Z37*T38)),IF(AND(Q37="Impacto",Q38="Probabilidad"),(Z36-(+Z36*T38)),IF(Q38="Impacto",Z37,""))),"")</f>
        <v/>
      </c>
      <c r="Y38" s="39" t="str">
        <f t="shared" si="31"/>
        <v/>
      </c>
      <c r="Z38" s="40" t="str">
        <f t="shared" si="43"/>
        <v/>
      </c>
      <c r="AA38" s="39" t="str">
        <f t="shared" si="36"/>
        <v/>
      </c>
      <c r="AB38" s="40" t="str">
        <f t="shared" ref="AB38:AB40" si="47">IFERROR(IF(AND(Q37="Impacto",Q38="Impacto"),(AB37-(+AB37*T38)),IF(AND(Q37="Probabilidad",Q38="Impacto"),(AB36-(+AB36*T38)),IF(Q38="Probabilidad",AB37,""))),"")</f>
        <v/>
      </c>
      <c r="AC38" s="41" t="str">
        <f>IFERROR(IF(OR(AND(Y38="Muy Baja",AA38="Leve"),AND(Y38="Muy Baja",AA38="Menor"),AND(Y38="Baja",AA38="Leve")),"Bajo",IF(OR(AND(Y38="Muy baja",AA38="Moderado"),AND(Y38="Baja",AA38="Menor"),AND(Y38="Baja",AA38="Moderado"),AND(Y38="Media",AA38="Leve"),AND(Y38="Media",AA38="Menor"),AND(Y38="Media",AA38="Moderado"),AND(Y38="Alta",AA38="Leve"),AND(Y38="Alta",AA38="Menor")),"Moderado",IF(OR(AND(Y38="Muy Baja",AA38="Mayor"),AND(Y38="Baja",AA38="Mayor"),AND(Y38="Media",AA38="Mayor"),AND(Y38="Alta",AA38="Moderado"),AND(Y38="Alta",AA38="Mayor"),AND(Y38="Muy Alta",AA38="Leve"),AND(Y38="Muy Alta",AA38="Menor"),AND(Y38="Muy Alta",AA38="Moderado"),AND(Y38="Muy Alta",AA38="Mayor")),"Alto",IF(OR(AND(Y38="Muy Baja",AA38="Catastrófico"),AND(Y38="Baja",AA38="Catastrófico"),AND(Y38="Media",AA38="Catastrófico"),AND(Y38="Alta",AA38="Catastrófico"),AND(Y38="Muy Alta",AA38="Catastrófico")),"Extremo","")))),"")</f>
        <v/>
      </c>
      <c r="AD38" s="25"/>
      <c r="AE38" s="29"/>
      <c r="AF38" s="42"/>
      <c r="AG38" s="43"/>
      <c r="AH38" s="43"/>
      <c r="AI38" s="29"/>
      <c r="AJ38" s="42"/>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row>
    <row r="39" spans="1:68" ht="151.5" hidden="1" customHeight="1" x14ac:dyDescent="0.3">
      <c r="A39" s="121"/>
      <c r="B39" s="123"/>
      <c r="C39" s="123"/>
      <c r="D39" s="123"/>
      <c r="E39" s="139"/>
      <c r="F39" s="123"/>
      <c r="G39" s="125"/>
      <c r="H39" s="117"/>
      <c r="I39" s="115"/>
      <c r="J39" s="113"/>
      <c r="K39" s="137">
        <f t="shared" si="41"/>
        <v>0</v>
      </c>
      <c r="L39" s="117"/>
      <c r="M39" s="115"/>
      <c r="N39" s="119"/>
      <c r="O39" s="46">
        <v>5</v>
      </c>
      <c r="P39" s="55"/>
      <c r="Q39" s="35" t="str">
        <f t="shared" si="45"/>
        <v/>
      </c>
      <c r="R39" s="36"/>
      <c r="S39" s="36"/>
      <c r="T39" s="37" t="str">
        <f t="shared" si="42"/>
        <v/>
      </c>
      <c r="U39" s="36"/>
      <c r="V39" s="36"/>
      <c r="W39" s="36"/>
      <c r="X39" s="38" t="str">
        <f t="shared" si="46"/>
        <v/>
      </c>
      <c r="Y39" s="39" t="str">
        <f t="shared" si="31"/>
        <v/>
      </c>
      <c r="Z39" s="40" t="str">
        <f t="shared" si="43"/>
        <v/>
      </c>
      <c r="AA39" s="39" t="str">
        <f t="shared" si="36"/>
        <v/>
      </c>
      <c r="AB39" s="40" t="str">
        <f t="shared" si="47"/>
        <v/>
      </c>
      <c r="AC39" s="41" t="str">
        <f t="shared" ref="AC39:AC40" si="48">IFERROR(IF(OR(AND(Y39="Muy Baja",AA39="Leve"),AND(Y39="Muy Baja",AA39="Menor"),AND(Y39="Baja",AA39="Leve")),"Bajo",IF(OR(AND(Y39="Muy baja",AA39="Moderado"),AND(Y39="Baja",AA39="Menor"),AND(Y39="Baja",AA39="Moderado"),AND(Y39="Media",AA39="Leve"),AND(Y39="Media",AA39="Menor"),AND(Y39="Media",AA39="Moderado"),AND(Y39="Alta",AA39="Leve"),AND(Y39="Alta",AA39="Menor")),"Moderado",IF(OR(AND(Y39="Muy Baja",AA39="Mayor"),AND(Y39="Baja",AA39="Mayor"),AND(Y39="Media",AA39="Mayor"),AND(Y39="Alta",AA39="Moderado"),AND(Y39="Alta",AA39="Mayor"),AND(Y39="Muy Alta",AA39="Leve"),AND(Y39="Muy Alta",AA39="Menor"),AND(Y39="Muy Alta",AA39="Moderado"),AND(Y39="Muy Alta",AA39="Mayor")),"Alto",IF(OR(AND(Y39="Muy Baja",AA39="Catastrófico"),AND(Y39="Baja",AA39="Catastrófico"),AND(Y39="Media",AA39="Catastrófico"),AND(Y39="Alta",AA39="Catastrófico"),AND(Y39="Muy Alta",AA39="Catastrófico")),"Extremo","")))),"")</f>
        <v/>
      </c>
      <c r="AD39" s="25"/>
      <c r="AE39" s="29"/>
      <c r="AF39" s="42"/>
      <c r="AG39" s="43"/>
      <c r="AH39" s="43"/>
      <c r="AI39" s="29"/>
      <c r="AJ39" s="42"/>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row>
    <row r="40" spans="1:68" ht="151.5" hidden="1" customHeight="1" x14ac:dyDescent="0.3">
      <c r="A40" s="121"/>
      <c r="B40" s="126"/>
      <c r="C40" s="126"/>
      <c r="D40" s="126"/>
      <c r="E40" s="161"/>
      <c r="F40" s="126"/>
      <c r="G40" s="133"/>
      <c r="H40" s="158"/>
      <c r="I40" s="159"/>
      <c r="J40" s="157"/>
      <c r="K40" s="143">
        <f t="shared" si="41"/>
        <v>0</v>
      </c>
      <c r="L40" s="158"/>
      <c r="M40" s="159"/>
      <c r="N40" s="160"/>
      <c r="O40" s="46">
        <v>6</v>
      </c>
      <c r="P40" s="55"/>
      <c r="Q40" s="35" t="str">
        <f t="shared" si="45"/>
        <v/>
      </c>
      <c r="R40" s="36"/>
      <c r="S40" s="36"/>
      <c r="T40" s="37" t="str">
        <f t="shared" si="42"/>
        <v/>
      </c>
      <c r="U40" s="36"/>
      <c r="V40" s="36"/>
      <c r="W40" s="36"/>
      <c r="X40" s="38" t="str">
        <f t="shared" si="46"/>
        <v/>
      </c>
      <c r="Y40" s="39" t="str">
        <f t="shared" si="31"/>
        <v/>
      </c>
      <c r="Z40" s="40" t="str">
        <f t="shared" si="43"/>
        <v/>
      </c>
      <c r="AA40" s="39" t="str">
        <f t="shared" si="36"/>
        <v/>
      </c>
      <c r="AB40" s="40" t="str">
        <f t="shared" si="47"/>
        <v/>
      </c>
      <c r="AC40" s="41" t="str">
        <f t="shared" si="48"/>
        <v/>
      </c>
      <c r="AD40" s="25"/>
      <c r="AE40" s="29"/>
      <c r="AF40" s="42"/>
      <c r="AG40" s="43"/>
      <c r="AH40" s="43"/>
      <c r="AI40" s="29"/>
      <c r="AJ40" s="42"/>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row>
    <row r="41" spans="1:68" ht="151.5" hidden="1" customHeight="1" x14ac:dyDescent="0.3">
      <c r="A41" s="121"/>
      <c r="B41" s="122" t="s">
        <v>61</v>
      </c>
      <c r="C41" s="122" t="s">
        <v>164</v>
      </c>
      <c r="D41" s="122" t="s">
        <v>165</v>
      </c>
      <c r="E41" s="138" t="s">
        <v>166</v>
      </c>
      <c r="F41" s="122" t="s">
        <v>65</v>
      </c>
      <c r="G41" s="124">
        <v>41</v>
      </c>
      <c r="H41" s="116" t="str">
        <f>IF(G41&lt;=0,"",IF(G41&lt;=2,"Muy Baja",IF(G41&lt;=24,"Baja",IF(G41&lt;=500,"Media",IF(G41&lt;=5000,"Alta","Muy Alta")))))</f>
        <v>Media</v>
      </c>
      <c r="I41" s="114">
        <f>IF(H41="","",IF(H41="Muy Baja",0.2,IF(H41="Baja",0.4,IF(H41="Media",0.6,IF(H41="Alta",0.8,IF(H41="Muy Alta",1,))))))</f>
        <v>0.6</v>
      </c>
      <c r="J41" s="112" t="s">
        <v>96</v>
      </c>
      <c r="K41" s="136" t="str">
        <f>IF(NOT(ISERROR(MATCH(J41,'[6]Tabla Impacto'!$B$221:$B$223,0))),'[6]Tabla Impacto'!$F$223&amp;"Por favor no seleccionar los criterios de impacto(Afectación Económica o presupuestal y Pérdida Reputacional)",J41)</f>
        <v xml:space="preserve">     El riesgo afecta la imagen de la entidad internamente, de conocimiento general, nivel interno, de junta dircetiva y accionistas y/o de provedores</v>
      </c>
      <c r="L41" s="116" t="str">
        <f>IF(OR(K41='[6]Tabla Impacto'!$C$11,K41='[6]Tabla Impacto'!$D$11),"Leve",IF(OR(K41='[6]Tabla Impacto'!$C$12,K41='[6]Tabla Impacto'!$D$12),"Menor",IF(OR(K41='[6]Tabla Impacto'!$C$13,K41='[6]Tabla Impacto'!$D$13),"Moderado",IF(OR(K41='[6]Tabla Impacto'!$C$14,K41='[6]Tabla Impacto'!$D$14),"Mayor",IF(OR(K41='[6]Tabla Impacto'!$C$15,K41='[6]Tabla Impacto'!$D$15),"Catastrófico","")))))</f>
        <v>Menor</v>
      </c>
      <c r="M41" s="114">
        <f>IF(L41="","",IF(L41="Leve",0.2,IF(L41="Menor",0.4,IF(L41="Moderado",0.6,IF(L41="Mayor",0.8,IF(L41="Catastrófico",1,))))))</f>
        <v>0.4</v>
      </c>
      <c r="N41" s="118" t="str">
        <f>IF(OR(AND(H41="Muy Baja",L41="Leve"),AND(H41="Muy Baja",L41="Menor"),AND(H41="Baja",L41="Leve")),"Bajo",IF(OR(AND(H41="Muy baja",L41="Moderado"),AND(H41="Baja",L41="Menor"),AND(H41="Baja",L41="Moderado"),AND(H41="Media",L41="Leve"),AND(H41="Media",L41="Menor"),AND(H41="Media",L41="Moderado"),AND(H41="Alta",L41="Leve"),AND(H41="Alta",L41="Menor")),"Moderado",IF(OR(AND(H41="Muy Baja",L41="Mayor"),AND(H41="Baja",L41="Mayor"),AND(H41="Media",L41="Mayor"),AND(H41="Alta",L41="Moderado"),AND(H41="Alta",L41="Mayor"),AND(H41="Muy Alta",L41="Leve"),AND(H41="Muy Alta",L41="Menor"),AND(H41="Muy Alta",L41="Moderado"),AND(H41="Muy Alta",L41="Mayor")),"Alto",IF(OR(AND(H41="Muy Baja",L41="Catastrófico"),AND(H41="Baja",L41="Catastrófico"),AND(H41="Media",L41="Catastrófico"),AND(H41="Alta",L41="Catastrófico"),AND(H41="Muy Alta",L41="Catastrófico")),"Extremo",""))))</f>
        <v>Moderado</v>
      </c>
      <c r="O41" s="46">
        <v>1</v>
      </c>
      <c r="P41" s="55" t="s">
        <v>167</v>
      </c>
      <c r="Q41" s="18" t="str">
        <f>IF(OR(R41="Preventivo",R41="Detectivo"),"Probabilidad",IF(R41="Correctivo","Impacto",""))</f>
        <v>Probabilidad</v>
      </c>
      <c r="R41" s="19" t="s">
        <v>52</v>
      </c>
      <c r="S41" s="19" t="s">
        <v>68</v>
      </c>
      <c r="T41" s="20" t="str">
        <f>IF(AND(R41="Preventivo",S41="Automático"),"50%",IF(AND(R41="Preventivo",S41="Manual"),"40%",IF(AND(R41="Detectivo",S41="Automático"),"40%",IF(AND(R41="Detectivo",S41="Manual"),"30%",IF(AND(R41="Correctivo",S41="Automático"),"35%",IF(AND(R41="Correctivo",S41="Manual"),"25%",""))))))</f>
        <v>30%</v>
      </c>
      <c r="U41" s="19" t="s">
        <v>54</v>
      </c>
      <c r="V41" s="19" t="s">
        <v>55</v>
      </c>
      <c r="W41" s="19" t="s">
        <v>56</v>
      </c>
      <c r="X41" s="21">
        <f>IFERROR(IF(Q41="Probabilidad",(I41-(+I41*T41)),IF(Q41="Impacto",I41,"")),"")</f>
        <v>0.42</v>
      </c>
      <c r="Y41" s="22" t="str">
        <f>IFERROR(IF(X41="","",IF(X41&lt;=0.2,"Muy Baja",IF(X41&lt;=0.4,"Baja",IF(X41&lt;=0.6,"Media",IF(X41&lt;=0.8,"Alta","Muy Alta"))))),"")</f>
        <v>Media</v>
      </c>
      <c r="Z41" s="23">
        <f>+X41</f>
        <v>0.42</v>
      </c>
      <c r="AA41" s="22" t="str">
        <f>IFERROR(IF(AB41="","",IF(AB41&lt;=0.2,"Leve",IF(AB41&lt;=0.4,"Menor",IF(AB41&lt;=0.6,"Moderado",IF(AB41&lt;=0.8,"Mayor","Catastrófico"))))),"")</f>
        <v>Menor</v>
      </c>
      <c r="AB41" s="23">
        <f>IFERROR(IF(Q41="Impacto",(M41-(+M41*T41)),IF(Q41="Probabilidad",M41,"")),"")</f>
        <v>0.4</v>
      </c>
      <c r="AC41" s="24" t="str">
        <f>IFERROR(IF(OR(AND(Y41="Muy Baja",AA41="Leve"),AND(Y41="Muy Baja",AA41="Menor"),AND(Y41="Baja",AA41="Leve")),"Bajo",IF(OR(AND(Y41="Muy baja",AA41="Moderado"),AND(Y41="Baja",AA41="Menor"),AND(Y41="Baja",AA41="Moderado"),AND(Y41="Media",AA41="Leve"),AND(Y41="Media",AA41="Menor"),AND(Y41="Media",AA41="Moderado"),AND(Y41="Alta",AA41="Leve"),AND(Y41="Alta",AA41="Menor")),"Moderado",IF(OR(AND(Y41="Muy Baja",AA41="Mayor"),AND(Y41="Baja",AA41="Mayor"),AND(Y41="Media",AA41="Mayor"),AND(Y41="Alta",AA41="Moderado"),AND(Y41="Alta",AA41="Mayor"),AND(Y41="Muy Alta",AA41="Leve"),AND(Y41="Muy Alta",AA41="Menor"),AND(Y41="Muy Alta",AA41="Moderado"),AND(Y41="Muy Alta",AA41="Mayor")),"Alto",IF(OR(AND(Y41="Muy Baja",AA41="Catastrófico"),AND(Y41="Baja",AA41="Catastrófico"),AND(Y41="Media",AA41="Catastrófico"),AND(Y41="Alta",AA41="Catastrófico"),AND(Y41="Muy Alta",AA41="Catastrófico")),"Extremo","")))),"")</f>
        <v>Moderado</v>
      </c>
      <c r="AD41" s="33" t="s">
        <v>57</v>
      </c>
      <c r="AE41" s="29" t="s">
        <v>168</v>
      </c>
      <c r="AF41" s="26" t="s">
        <v>169</v>
      </c>
      <c r="AG41" s="56"/>
      <c r="AH41" s="27" t="s">
        <v>170</v>
      </c>
      <c r="AI41" s="29"/>
      <c r="AJ41" s="30" t="s">
        <v>60</v>
      </c>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row>
    <row r="42" spans="1:68" ht="151.5" hidden="1" customHeight="1" x14ac:dyDescent="0.3">
      <c r="A42" s="121"/>
      <c r="B42" s="123"/>
      <c r="C42" s="123"/>
      <c r="D42" s="123"/>
      <c r="E42" s="139"/>
      <c r="F42" s="123"/>
      <c r="G42" s="125"/>
      <c r="H42" s="117"/>
      <c r="I42" s="115"/>
      <c r="J42" s="113"/>
      <c r="K42" s="137">
        <f t="shared" ref="K42:K46" si="49">IF(NOT(ISERROR(MATCH(J42,_xlfn.ANCHORARRAY(E53),0))),I55&amp;"Por favor no seleccionar los criterios de impacto",J42)</f>
        <v>0</v>
      </c>
      <c r="L42" s="117"/>
      <c r="M42" s="115"/>
      <c r="N42" s="119"/>
      <c r="O42" s="46">
        <v>2</v>
      </c>
      <c r="P42" s="55"/>
      <c r="Q42" s="35" t="str">
        <f>IF(OR(R42="Preventivo",R42="Detectivo"),"Probabilidad",IF(R42="Correctivo","Impacto",""))</f>
        <v/>
      </c>
      <c r="R42" s="36"/>
      <c r="S42" s="36"/>
      <c r="T42" s="37" t="str">
        <f t="shared" ref="T42:T46" si="50">IF(AND(R42="Preventivo",S42="Automático"),"50%",IF(AND(R42="Preventivo",S42="Manual"),"40%",IF(AND(R42="Detectivo",S42="Automático"),"40%",IF(AND(R42="Detectivo",S42="Manual"),"30%",IF(AND(R42="Correctivo",S42="Automático"),"35%",IF(AND(R42="Correctivo",S42="Manual"),"25%",""))))))</f>
        <v/>
      </c>
      <c r="U42" s="36"/>
      <c r="V42" s="36"/>
      <c r="W42" s="36"/>
      <c r="X42" s="38" t="str">
        <f>IFERROR(IF(AND(Q41="Probabilidad",Q42="Probabilidad"),(Z41-(+Z41*T42)),IF(Q42="Probabilidad",(I41-(+I41*T42)),IF(Q42="Impacto",Z41,""))),"")</f>
        <v/>
      </c>
      <c r="Y42" s="39" t="str">
        <f t="shared" si="31"/>
        <v/>
      </c>
      <c r="Z42" s="40" t="str">
        <f t="shared" ref="Z42:Z46" si="51">+X42</f>
        <v/>
      </c>
      <c r="AA42" s="39" t="str">
        <f t="shared" si="36"/>
        <v/>
      </c>
      <c r="AB42" s="40" t="str">
        <f>IFERROR(IF(AND(Q41="Impacto",Q42="Impacto"),(AB41-(+AB41*T42)),IF(Q42="Impacto",(M41-(+M41*T42)),IF(Q42="Probabilidad",AB41,""))),"")</f>
        <v/>
      </c>
      <c r="AC42" s="41" t="str">
        <f t="shared" ref="AC42:AC43" si="52">IFERROR(IF(OR(AND(Y42="Muy Baja",AA42="Leve"),AND(Y42="Muy Baja",AA42="Menor"),AND(Y42="Baja",AA42="Leve")),"Bajo",IF(OR(AND(Y42="Muy baja",AA42="Moderado"),AND(Y42="Baja",AA42="Menor"),AND(Y42="Baja",AA42="Moderado"),AND(Y42="Media",AA42="Leve"),AND(Y42="Media",AA42="Menor"),AND(Y42="Media",AA42="Moderado"),AND(Y42="Alta",AA42="Leve"),AND(Y42="Alta",AA42="Menor")),"Moderado",IF(OR(AND(Y42="Muy Baja",AA42="Mayor"),AND(Y42="Baja",AA42="Mayor"),AND(Y42="Media",AA42="Mayor"),AND(Y42="Alta",AA42="Moderado"),AND(Y42="Alta",AA42="Mayor"),AND(Y42="Muy Alta",AA42="Leve"),AND(Y42="Muy Alta",AA42="Menor"),AND(Y42="Muy Alta",AA42="Moderado"),AND(Y42="Muy Alta",AA42="Mayor")),"Alto",IF(OR(AND(Y42="Muy Baja",AA42="Catastrófico"),AND(Y42="Baja",AA42="Catastrófico"),AND(Y42="Media",AA42="Catastrófico"),AND(Y42="Alta",AA42="Catastrófico"),AND(Y42="Muy Alta",AA42="Catastrófico")),"Extremo","")))),"")</f>
        <v/>
      </c>
      <c r="AD42" s="25"/>
      <c r="AE42" s="29"/>
      <c r="AF42" s="42"/>
      <c r="AG42" s="43"/>
      <c r="AH42" s="43"/>
      <c r="AI42" s="29"/>
      <c r="AJ42" s="42"/>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row>
    <row r="43" spans="1:68" ht="151.5" hidden="1" customHeight="1" x14ac:dyDescent="0.3">
      <c r="A43" s="121"/>
      <c r="B43" s="123"/>
      <c r="C43" s="123"/>
      <c r="D43" s="123"/>
      <c r="E43" s="139"/>
      <c r="F43" s="123"/>
      <c r="G43" s="125"/>
      <c r="H43" s="117"/>
      <c r="I43" s="115"/>
      <c r="J43" s="113"/>
      <c r="K43" s="137">
        <f t="shared" si="49"/>
        <v>0</v>
      </c>
      <c r="L43" s="117"/>
      <c r="M43" s="115"/>
      <c r="N43" s="119"/>
      <c r="O43" s="46">
        <v>3</v>
      </c>
      <c r="P43" s="58"/>
      <c r="Q43" s="35" t="str">
        <f>IF(OR(R43="Preventivo",R43="Detectivo"),"Probabilidad",IF(R43="Correctivo","Impacto",""))</f>
        <v/>
      </c>
      <c r="R43" s="36"/>
      <c r="S43" s="36"/>
      <c r="T43" s="37" t="str">
        <f t="shared" si="50"/>
        <v/>
      </c>
      <c r="U43" s="36"/>
      <c r="V43" s="36"/>
      <c r="W43" s="36"/>
      <c r="X43" s="38" t="str">
        <f>IFERROR(IF(AND(Q42="Probabilidad",Q43="Probabilidad"),(Z42-(+Z42*T43)),IF(AND(Q42="Impacto",Q43="Probabilidad"),(Z41-(+Z41*T43)),IF(Q43="Impacto",Z42,""))),"")</f>
        <v/>
      </c>
      <c r="Y43" s="39" t="str">
        <f t="shared" si="31"/>
        <v/>
      </c>
      <c r="Z43" s="40" t="str">
        <f t="shared" si="51"/>
        <v/>
      </c>
      <c r="AA43" s="39" t="str">
        <f t="shared" si="36"/>
        <v/>
      </c>
      <c r="AB43" s="40" t="str">
        <f>IFERROR(IF(AND(Q42="Impacto",Q43="Impacto"),(AB42-(+AB42*T43)),IF(AND(Q42="Probabilidad",Q43="Impacto"),(AB41-(+AB41*T43)),IF(Q43="Probabilidad",AB42,""))),"")</f>
        <v/>
      </c>
      <c r="AC43" s="41" t="str">
        <f t="shared" si="52"/>
        <v/>
      </c>
      <c r="AD43" s="25"/>
      <c r="AE43" s="29"/>
      <c r="AF43" s="42"/>
      <c r="AG43" s="43"/>
      <c r="AH43" s="43"/>
      <c r="AI43" s="29"/>
      <c r="AJ43" s="42"/>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row>
    <row r="44" spans="1:68" ht="151.5" hidden="1" customHeight="1" x14ac:dyDescent="0.3">
      <c r="A44" s="121"/>
      <c r="B44" s="123"/>
      <c r="C44" s="123"/>
      <c r="D44" s="123"/>
      <c r="E44" s="139"/>
      <c r="F44" s="123"/>
      <c r="G44" s="125"/>
      <c r="H44" s="117"/>
      <c r="I44" s="115"/>
      <c r="J44" s="113"/>
      <c r="K44" s="137">
        <f t="shared" si="49"/>
        <v>0</v>
      </c>
      <c r="L44" s="117"/>
      <c r="M44" s="115"/>
      <c r="N44" s="119"/>
      <c r="O44" s="46">
        <v>4</v>
      </c>
      <c r="P44" s="55"/>
      <c r="Q44" s="35" t="str">
        <f t="shared" ref="Q44:Q46" si="53">IF(OR(R44="Preventivo",R44="Detectivo"),"Probabilidad",IF(R44="Correctivo","Impacto",""))</f>
        <v/>
      </c>
      <c r="R44" s="36"/>
      <c r="S44" s="36"/>
      <c r="T44" s="37" t="str">
        <f t="shared" si="50"/>
        <v/>
      </c>
      <c r="U44" s="36"/>
      <c r="V44" s="36"/>
      <c r="W44" s="36"/>
      <c r="X44" s="38" t="str">
        <f t="shared" ref="X44:X46" si="54">IFERROR(IF(AND(Q43="Probabilidad",Q44="Probabilidad"),(Z43-(+Z43*T44)),IF(AND(Q43="Impacto",Q44="Probabilidad"),(Z42-(+Z42*T44)),IF(Q44="Impacto",Z43,""))),"")</f>
        <v/>
      </c>
      <c r="Y44" s="39" t="str">
        <f t="shared" si="31"/>
        <v/>
      </c>
      <c r="Z44" s="40" t="str">
        <f t="shared" si="51"/>
        <v/>
      </c>
      <c r="AA44" s="39" t="str">
        <f t="shared" si="36"/>
        <v/>
      </c>
      <c r="AB44" s="40" t="str">
        <f t="shared" ref="AB44:AB46" si="55">IFERROR(IF(AND(Q43="Impacto",Q44="Impacto"),(AB43-(+AB43*T44)),IF(AND(Q43="Probabilidad",Q44="Impacto"),(AB42-(+AB42*T44)),IF(Q44="Probabilidad",AB43,""))),"")</f>
        <v/>
      </c>
      <c r="AC44" s="41" t="str">
        <f>IFERROR(IF(OR(AND(Y44="Muy Baja",AA44="Leve"),AND(Y44="Muy Baja",AA44="Menor"),AND(Y44="Baja",AA44="Leve")),"Bajo",IF(OR(AND(Y44="Muy baja",AA44="Moderado"),AND(Y44="Baja",AA44="Menor"),AND(Y44="Baja",AA44="Moderado"),AND(Y44="Media",AA44="Leve"),AND(Y44="Media",AA44="Menor"),AND(Y44="Media",AA44="Moderado"),AND(Y44="Alta",AA44="Leve"),AND(Y44="Alta",AA44="Menor")),"Moderado",IF(OR(AND(Y44="Muy Baja",AA44="Mayor"),AND(Y44="Baja",AA44="Mayor"),AND(Y44="Media",AA44="Mayor"),AND(Y44="Alta",AA44="Moderado"),AND(Y44="Alta",AA44="Mayor"),AND(Y44="Muy Alta",AA44="Leve"),AND(Y44="Muy Alta",AA44="Menor"),AND(Y44="Muy Alta",AA44="Moderado"),AND(Y44="Muy Alta",AA44="Mayor")),"Alto",IF(OR(AND(Y44="Muy Baja",AA44="Catastrófico"),AND(Y44="Baja",AA44="Catastrófico"),AND(Y44="Media",AA44="Catastrófico"),AND(Y44="Alta",AA44="Catastrófico"),AND(Y44="Muy Alta",AA44="Catastrófico")),"Extremo","")))),"")</f>
        <v/>
      </c>
      <c r="AD44" s="25"/>
      <c r="AE44" s="29"/>
      <c r="AF44" s="42"/>
      <c r="AG44" s="43"/>
      <c r="AH44" s="43"/>
      <c r="AI44" s="29"/>
      <c r="AJ44" s="42"/>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row>
    <row r="45" spans="1:68" ht="151.5" hidden="1" customHeight="1" x14ac:dyDescent="0.3">
      <c r="A45" s="121"/>
      <c r="B45" s="123"/>
      <c r="C45" s="123"/>
      <c r="D45" s="123"/>
      <c r="E45" s="139"/>
      <c r="F45" s="123"/>
      <c r="G45" s="125"/>
      <c r="H45" s="117"/>
      <c r="I45" s="115"/>
      <c r="J45" s="113"/>
      <c r="K45" s="137">
        <f t="shared" si="49"/>
        <v>0</v>
      </c>
      <c r="L45" s="117"/>
      <c r="M45" s="115"/>
      <c r="N45" s="119"/>
      <c r="O45" s="46">
        <v>5</v>
      </c>
      <c r="P45" s="55"/>
      <c r="Q45" s="35" t="str">
        <f t="shared" si="53"/>
        <v/>
      </c>
      <c r="R45" s="36"/>
      <c r="S45" s="36"/>
      <c r="T45" s="37" t="str">
        <f t="shared" si="50"/>
        <v/>
      </c>
      <c r="U45" s="36"/>
      <c r="V45" s="36"/>
      <c r="W45" s="36"/>
      <c r="X45" s="57" t="str">
        <f t="shared" si="54"/>
        <v/>
      </c>
      <c r="Y45" s="39" t="str">
        <f>IFERROR(IF(X45="","",IF(X45&lt;=0.2,"Muy Baja",IF(X45&lt;=0.4,"Baja",IF(X45&lt;=0.6,"Media",IF(X45&lt;=0.8,"Alta","Muy Alta"))))),"")</f>
        <v/>
      </c>
      <c r="Z45" s="40" t="str">
        <f t="shared" si="51"/>
        <v/>
      </c>
      <c r="AA45" s="39" t="str">
        <f t="shared" si="36"/>
        <v/>
      </c>
      <c r="AB45" s="40" t="str">
        <f t="shared" si="55"/>
        <v/>
      </c>
      <c r="AC45" s="41" t="str">
        <f t="shared" ref="AC45:AC46" si="56">IFERROR(IF(OR(AND(Y45="Muy Baja",AA45="Leve"),AND(Y45="Muy Baja",AA45="Menor"),AND(Y45="Baja",AA45="Leve")),"Bajo",IF(OR(AND(Y45="Muy baja",AA45="Moderado"),AND(Y45="Baja",AA45="Menor"),AND(Y45="Baja",AA45="Moderado"),AND(Y45="Media",AA45="Leve"),AND(Y45="Media",AA45="Menor"),AND(Y45="Media",AA45="Moderado"),AND(Y45="Alta",AA45="Leve"),AND(Y45="Alta",AA45="Menor")),"Moderado",IF(OR(AND(Y45="Muy Baja",AA45="Mayor"),AND(Y45="Baja",AA45="Mayor"),AND(Y45="Media",AA45="Mayor"),AND(Y45="Alta",AA45="Moderado"),AND(Y45="Alta",AA45="Mayor"),AND(Y45="Muy Alta",AA45="Leve"),AND(Y45="Muy Alta",AA45="Menor"),AND(Y45="Muy Alta",AA45="Moderado"),AND(Y45="Muy Alta",AA45="Mayor")),"Alto",IF(OR(AND(Y45="Muy Baja",AA45="Catastrófico"),AND(Y45="Baja",AA45="Catastrófico"),AND(Y45="Media",AA45="Catastrófico"),AND(Y45="Alta",AA45="Catastrófico"),AND(Y45="Muy Alta",AA45="Catastrófico")),"Extremo","")))),"")</f>
        <v/>
      </c>
      <c r="AD45" s="25"/>
      <c r="AE45" s="29"/>
      <c r="AF45" s="42"/>
      <c r="AG45" s="43"/>
      <c r="AH45" s="43"/>
      <c r="AI45" s="29"/>
      <c r="AJ45" s="42"/>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row>
    <row r="46" spans="1:68" ht="151.5" hidden="1" customHeight="1" x14ac:dyDescent="0.3">
      <c r="A46" s="121"/>
      <c r="B46" s="126"/>
      <c r="C46" s="126"/>
      <c r="D46" s="126"/>
      <c r="E46" s="161"/>
      <c r="F46" s="126"/>
      <c r="G46" s="133"/>
      <c r="H46" s="158"/>
      <c r="I46" s="159"/>
      <c r="J46" s="157"/>
      <c r="K46" s="143">
        <f t="shared" si="49"/>
        <v>0</v>
      </c>
      <c r="L46" s="158"/>
      <c r="M46" s="159"/>
      <c r="N46" s="160"/>
      <c r="O46" s="46">
        <v>6</v>
      </c>
      <c r="P46" s="55"/>
      <c r="Q46" s="35" t="str">
        <f t="shared" si="53"/>
        <v/>
      </c>
      <c r="R46" s="36"/>
      <c r="S46" s="36"/>
      <c r="T46" s="37" t="str">
        <f t="shared" si="50"/>
        <v/>
      </c>
      <c r="U46" s="36"/>
      <c r="V46" s="36"/>
      <c r="W46" s="36"/>
      <c r="X46" s="38" t="str">
        <f t="shared" si="54"/>
        <v/>
      </c>
      <c r="Y46" s="39" t="str">
        <f t="shared" si="31"/>
        <v/>
      </c>
      <c r="Z46" s="40" t="str">
        <f t="shared" si="51"/>
        <v/>
      </c>
      <c r="AA46" s="39" t="str">
        <f t="shared" si="36"/>
        <v/>
      </c>
      <c r="AB46" s="40" t="str">
        <f t="shared" si="55"/>
        <v/>
      </c>
      <c r="AC46" s="41" t="str">
        <f t="shared" si="56"/>
        <v/>
      </c>
      <c r="AD46" s="25"/>
      <c r="AE46" s="29"/>
      <c r="AF46" s="42"/>
      <c r="AG46" s="43"/>
      <c r="AH46" s="43"/>
      <c r="AI46" s="29"/>
      <c r="AJ46" s="42"/>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row>
    <row r="47" spans="1:68" ht="250.5" hidden="1" customHeight="1" x14ac:dyDescent="0.3">
      <c r="A47" s="121"/>
      <c r="B47" s="122" t="s">
        <v>61</v>
      </c>
      <c r="C47" s="122" t="s">
        <v>171</v>
      </c>
      <c r="D47" s="122" t="s">
        <v>172</v>
      </c>
      <c r="E47" s="138" t="s">
        <v>173</v>
      </c>
      <c r="F47" s="122"/>
      <c r="G47" s="124">
        <v>8168</v>
      </c>
      <c r="H47" s="116" t="str">
        <f>IF(G47&lt;=0,"",IF(G47&lt;=2,"Muy Baja",IF(G47&lt;=24,"Baja",IF(G47&lt;=500,"Media",IF(G47&lt;=5000,"Alta","Muy Alta")))))</f>
        <v>Muy Alta</v>
      </c>
      <c r="I47" s="114">
        <f>IF(H47="","",IF(H47="Muy Baja",0.2,IF(H47="Baja",0.4,IF(H47="Media",0.6,IF(H47="Alta",0.8,IF(H47="Muy Alta",1,))))))</f>
        <v>1</v>
      </c>
      <c r="J47" s="112" t="s">
        <v>96</v>
      </c>
      <c r="K47" s="136" t="str">
        <f>IF(NOT(ISERROR(MATCH(J47,'[6]Tabla Impacto'!$B$221:$B$223,0))),'[6]Tabla Impacto'!$F$223&amp;"Por favor no seleccionar los criterios de impacto(Afectación Económica o presupuestal y Pérdida Reputacional)",J47)</f>
        <v xml:space="preserve">     El riesgo afecta la imagen de la entidad internamente, de conocimiento general, nivel interno, de junta dircetiva y accionistas y/o de provedores</v>
      </c>
      <c r="L47" s="116" t="str">
        <f>IF(OR(K47='[6]Tabla Impacto'!$C$11,K47='[6]Tabla Impacto'!$D$11),"Leve",IF(OR(K47='[6]Tabla Impacto'!$C$12,K47='[6]Tabla Impacto'!$D$12),"Menor",IF(OR(K47='[6]Tabla Impacto'!$C$13,K47='[6]Tabla Impacto'!$D$13),"Moderado",IF(OR(K47='[6]Tabla Impacto'!$C$14,K47='[6]Tabla Impacto'!$D$14),"Mayor",IF(OR(K47='[6]Tabla Impacto'!$C$15,K47='[6]Tabla Impacto'!$D$15),"Catastrófico","")))))</f>
        <v>Menor</v>
      </c>
      <c r="M47" s="114">
        <f>IF(L47="","",IF(L47="Leve",0.2,IF(L47="Menor",0.4,IF(L47="Moderado",0.6,IF(L47="Mayor",0.8,IF(L47="Catastrófico",1,))))))</f>
        <v>0.4</v>
      </c>
      <c r="N47" s="118" t="str">
        <f>IF(OR(AND(H47="Muy Baja",L47="Leve"),AND(H47="Muy Baja",L47="Menor"),AND(H47="Baja",L47="Leve")),"Bajo",IF(OR(AND(H47="Muy baja",L47="Moderado"),AND(H47="Baja",L47="Menor"),AND(H47="Baja",L47="Moderado"),AND(H47="Media",L47="Leve"),AND(H47="Media",L47="Menor"),AND(H47="Media",L47="Moderado"),AND(H47="Alta",L47="Leve"),AND(H47="Alta",L47="Menor")),"Moderado",IF(OR(AND(H47="Muy Baja",L47="Mayor"),AND(H47="Baja",L47="Mayor"),AND(H47="Media",L47="Mayor"),AND(H47="Alta",L47="Moderado"),AND(H47="Alta",L47="Mayor"),AND(H47="Muy Alta",L47="Leve"),AND(H47="Muy Alta",L47="Menor"),AND(H47="Muy Alta",L47="Moderado"),AND(H47="Muy Alta",L47="Mayor")),"Alto",IF(OR(AND(H47="Muy Baja",L47="Catastrófico"),AND(H47="Baja",L47="Catastrófico"),AND(H47="Media",L47="Catastrófico"),AND(H47="Alta",L47="Catastrófico"),AND(H47="Muy Alta",L47="Catastrófico")),"Extremo",""))))</f>
        <v>Alto</v>
      </c>
      <c r="O47" s="46">
        <v>1</v>
      </c>
      <c r="P47" s="17" t="s">
        <v>174</v>
      </c>
      <c r="Q47" s="18" t="str">
        <f>IF(OR(R47="Preventivo",R47="Detectivo"),"Probabilidad",IF(R47="Correctivo","Impacto",""))</f>
        <v>Probabilidad</v>
      </c>
      <c r="R47" s="19" t="s">
        <v>81</v>
      </c>
      <c r="S47" s="19" t="s">
        <v>68</v>
      </c>
      <c r="T47" s="20" t="str">
        <f>IF(AND(R47="Preventivo",S47="Automático"),"50%",IF(AND(R47="Preventivo",S47="Manual"),"40%",IF(AND(R47="Detectivo",S47="Automático"),"40%",IF(AND(R47="Detectivo",S47="Manual"),"30%",IF(AND(R47="Correctivo",S47="Automático"),"35%",IF(AND(R47="Correctivo",S47="Manual"),"25%",""))))))</f>
        <v>40%</v>
      </c>
      <c r="U47" s="19" t="s">
        <v>54</v>
      </c>
      <c r="V47" s="19" t="s">
        <v>55</v>
      </c>
      <c r="W47" s="19" t="s">
        <v>71</v>
      </c>
      <c r="X47" s="21">
        <f>IFERROR(IF(Q47="Probabilidad",(I47-(+I47*T47)),IF(Q47="Impacto",I47,"")),"")</f>
        <v>0.6</v>
      </c>
      <c r="Y47" s="22" t="str">
        <f>IFERROR(IF(X47="","",IF(X47&lt;=0.2,"Muy Baja",IF(X47&lt;=0.4,"Baja",IF(X47&lt;=0.6,"Media",IF(X47&lt;=0.8,"Alta","Muy Alta"))))),"")</f>
        <v>Media</v>
      </c>
      <c r="Z47" s="23">
        <f>+X47</f>
        <v>0.6</v>
      </c>
      <c r="AA47" s="22" t="str">
        <f>IFERROR(IF(AB47="","",IF(AB47&lt;=0.2,"Leve",IF(AB47&lt;=0.4,"Menor",IF(AB47&lt;=0.6,"Moderado",IF(AB47&lt;=0.8,"Mayor","Catastrófico"))))),"")</f>
        <v>Menor</v>
      </c>
      <c r="AB47" s="23">
        <f>IFERROR(IF(Q47="Impacto",(M47-(+M47*T47)),IF(Q47="Probabilidad",M47,"")),"")</f>
        <v>0.4</v>
      </c>
      <c r="AC47" s="24" t="str">
        <f>IFERROR(IF(OR(AND(Y47="Muy Baja",AA47="Leve"),AND(Y47="Muy Baja",AA47="Menor"),AND(Y47="Baja",AA47="Leve")),"Bajo",IF(OR(AND(Y47="Muy baja",AA47="Moderado"),AND(Y47="Baja",AA47="Menor"),AND(Y47="Baja",AA47="Moderado"),AND(Y47="Media",AA47="Leve"),AND(Y47="Media",AA47="Menor"),AND(Y47="Media",AA47="Moderado"),AND(Y47="Alta",AA47="Leve"),AND(Y47="Alta",AA47="Menor")),"Moderado",IF(OR(AND(Y47="Muy Baja",AA47="Mayor"),AND(Y47="Baja",AA47="Mayor"),AND(Y47="Media",AA47="Mayor"),AND(Y47="Alta",AA47="Moderado"),AND(Y47="Alta",AA47="Mayor"),AND(Y47="Muy Alta",AA47="Leve"),AND(Y47="Muy Alta",AA47="Menor"),AND(Y47="Muy Alta",AA47="Moderado"),AND(Y47="Muy Alta",AA47="Mayor")),"Alto",IF(OR(AND(Y47="Muy Baja",AA47="Catastrófico"),AND(Y47="Baja",AA47="Catastrófico"),AND(Y47="Media",AA47="Catastrófico"),AND(Y47="Alta",AA47="Catastrófico"),AND(Y47="Muy Alta",AA47="Catastrófico")),"Extremo","")))),"")</f>
        <v>Moderado</v>
      </c>
      <c r="AD47" s="33" t="s">
        <v>57</v>
      </c>
      <c r="AE47" s="26" t="s">
        <v>175</v>
      </c>
      <c r="AF47" s="26" t="s">
        <v>176</v>
      </c>
      <c r="AG47" s="56"/>
      <c r="AH47" s="27" t="s">
        <v>177</v>
      </c>
      <c r="AI47" s="29"/>
      <c r="AJ47" s="30" t="s">
        <v>60</v>
      </c>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row>
    <row r="48" spans="1:68" ht="151.5" hidden="1" customHeight="1" x14ac:dyDescent="0.3">
      <c r="A48" s="121"/>
      <c r="B48" s="123"/>
      <c r="C48" s="123"/>
      <c r="D48" s="123"/>
      <c r="E48" s="139"/>
      <c r="F48" s="123"/>
      <c r="G48" s="125"/>
      <c r="H48" s="117"/>
      <c r="I48" s="115"/>
      <c r="J48" s="113"/>
      <c r="K48" s="137">
        <f t="shared" ref="K48:K52" si="57">IF(NOT(ISERROR(MATCH(J48,_xlfn.ANCHORARRAY(E59),0))),I61&amp;"Por favor no seleccionar los criterios de impacto",J48)</f>
        <v>0</v>
      </c>
      <c r="L48" s="117"/>
      <c r="M48" s="115"/>
      <c r="N48" s="119"/>
      <c r="O48" s="46">
        <v>2</v>
      </c>
      <c r="P48" s="55"/>
      <c r="Q48" s="35" t="str">
        <f>IF(OR(R48="Preventivo",R48="Detectivo"),"Probabilidad",IF(R48="Correctivo","Impacto",""))</f>
        <v/>
      </c>
      <c r="R48" s="36"/>
      <c r="S48" s="36"/>
      <c r="T48" s="37" t="str">
        <f t="shared" ref="T48:T52" si="58">IF(AND(R48="Preventivo",S48="Automático"),"50%",IF(AND(R48="Preventivo",S48="Manual"),"40%",IF(AND(R48="Detectivo",S48="Automático"),"40%",IF(AND(R48="Detectivo",S48="Manual"),"30%",IF(AND(R48="Correctivo",S48="Automático"),"35%",IF(AND(R48="Correctivo",S48="Manual"),"25%",""))))))</f>
        <v/>
      </c>
      <c r="U48" s="36"/>
      <c r="V48" s="36"/>
      <c r="W48" s="36"/>
      <c r="X48" s="38" t="str">
        <f>IFERROR(IF(AND(Q47="Probabilidad",Q48="Probabilidad"),(Z47-(+Z47*T48)),IF(Q48="Probabilidad",(I47-(+I47*T48)),IF(Q48="Impacto",Z47,""))),"")</f>
        <v/>
      </c>
      <c r="Y48" s="39" t="str">
        <f t="shared" si="31"/>
        <v/>
      </c>
      <c r="Z48" s="40" t="str">
        <f t="shared" ref="Z48:Z52" si="59">+X48</f>
        <v/>
      </c>
      <c r="AA48" s="39" t="str">
        <f t="shared" si="36"/>
        <v/>
      </c>
      <c r="AB48" s="40" t="str">
        <f>IFERROR(IF(AND(Q47="Impacto",Q48="Impacto"),(AB47-(+AB47*T48)),IF(Q48="Impacto",(M47-(+M47*T48)),IF(Q48="Probabilidad",AB47,""))),"")</f>
        <v/>
      </c>
      <c r="AC48" s="41" t="str">
        <f t="shared" ref="AC48:AC49" si="60">IFERROR(IF(OR(AND(Y48="Muy Baja",AA48="Leve"),AND(Y48="Muy Baja",AA48="Menor"),AND(Y48="Baja",AA48="Leve")),"Bajo",IF(OR(AND(Y48="Muy baja",AA48="Moderado"),AND(Y48="Baja",AA48="Menor"),AND(Y48="Baja",AA48="Moderado"),AND(Y48="Media",AA48="Leve"),AND(Y48="Media",AA48="Menor"),AND(Y48="Media",AA48="Moderado"),AND(Y48="Alta",AA48="Leve"),AND(Y48="Alta",AA48="Menor")),"Moderado",IF(OR(AND(Y48="Muy Baja",AA48="Mayor"),AND(Y48="Baja",AA48="Mayor"),AND(Y48="Media",AA48="Mayor"),AND(Y48="Alta",AA48="Moderado"),AND(Y48="Alta",AA48="Mayor"),AND(Y48="Muy Alta",AA48="Leve"),AND(Y48="Muy Alta",AA48="Menor"),AND(Y48="Muy Alta",AA48="Moderado"),AND(Y48="Muy Alta",AA48="Mayor")),"Alto",IF(OR(AND(Y48="Muy Baja",AA48="Catastrófico"),AND(Y48="Baja",AA48="Catastrófico"),AND(Y48="Media",AA48="Catastrófico"),AND(Y48="Alta",AA48="Catastrófico"),AND(Y48="Muy Alta",AA48="Catastrófico")),"Extremo","")))),"")</f>
        <v/>
      </c>
      <c r="AD48" s="25"/>
      <c r="AE48" s="29"/>
      <c r="AF48" s="42"/>
      <c r="AG48" s="43"/>
      <c r="AH48" s="43"/>
      <c r="AI48" s="29"/>
      <c r="AJ48" s="42"/>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row>
    <row r="49" spans="1:68" ht="151.5" hidden="1" customHeight="1" x14ac:dyDescent="0.3">
      <c r="A49" s="121"/>
      <c r="B49" s="123"/>
      <c r="C49" s="123"/>
      <c r="D49" s="123"/>
      <c r="E49" s="139"/>
      <c r="F49" s="123"/>
      <c r="G49" s="125"/>
      <c r="H49" s="117"/>
      <c r="I49" s="115"/>
      <c r="J49" s="113"/>
      <c r="K49" s="137">
        <f t="shared" si="57"/>
        <v>0</v>
      </c>
      <c r="L49" s="117"/>
      <c r="M49" s="115"/>
      <c r="N49" s="119"/>
      <c r="O49" s="46">
        <v>3</v>
      </c>
      <c r="P49" s="58"/>
      <c r="Q49" s="35" t="str">
        <f>IF(OR(R49="Preventivo",R49="Detectivo"),"Probabilidad",IF(R49="Correctivo","Impacto",""))</f>
        <v/>
      </c>
      <c r="R49" s="36"/>
      <c r="S49" s="36"/>
      <c r="T49" s="37" t="str">
        <f t="shared" si="58"/>
        <v/>
      </c>
      <c r="U49" s="36"/>
      <c r="V49" s="36"/>
      <c r="W49" s="36"/>
      <c r="X49" s="38" t="str">
        <f>IFERROR(IF(AND(Q48="Probabilidad",Q49="Probabilidad"),(Z48-(+Z48*T49)),IF(AND(Q48="Impacto",Q49="Probabilidad"),(Z47-(+Z47*T49)),IF(Q49="Impacto",Z48,""))),"")</f>
        <v/>
      </c>
      <c r="Y49" s="39" t="str">
        <f t="shared" si="31"/>
        <v/>
      </c>
      <c r="Z49" s="40" t="str">
        <f t="shared" si="59"/>
        <v/>
      </c>
      <c r="AA49" s="39" t="str">
        <f t="shared" si="36"/>
        <v/>
      </c>
      <c r="AB49" s="40" t="str">
        <f>IFERROR(IF(AND(Q48="Impacto",Q49="Impacto"),(AB48-(+AB48*T49)),IF(AND(Q48="Probabilidad",Q49="Impacto"),(AB47-(+AB47*T49)),IF(Q49="Probabilidad",AB48,""))),"")</f>
        <v/>
      </c>
      <c r="AC49" s="41" t="str">
        <f t="shared" si="60"/>
        <v/>
      </c>
      <c r="AD49" s="25"/>
      <c r="AE49" s="29"/>
      <c r="AF49" s="42"/>
      <c r="AG49" s="43"/>
      <c r="AH49" s="43"/>
      <c r="AI49" s="29"/>
      <c r="AJ49" s="42"/>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row>
    <row r="50" spans="1:68" ht="151.5" hidden="1" customHeight="1" x14ac:dyDescent="0.3">
      <c r="A50" s="121"/>
      <c r="B50" s="123"/>
      <c r="C50" s="123"/>
      <c r="D50" s="123"/>
      <c r="E50" s="139"/>
      <c r="F50" s="123"/>
      <c r="G50" s="125"/>
      <c r="H50" s="117"/>
      <c r="I50" s="115"/>
      <c r="J50" s="113"/>
      <c r="K50" s="137">
        <f t="shared" si="57"/>
        <v>0</v>
      </c>
      <c r="L50" s="117"/>
      <c r="M50" s="115"/>
      <c r="N50" s="119"/>
      <c r="O50" s="46">
        <v>4</v>
      </c>
      <c r="P50" s="55"/>
      <c r="Q50" s="35" t="str">
        <f t="shared" ref="Q50:Q52" si="61">IF(OR(R50="Preventivo",R50="Detectivo"),"Probabilidad",IF(R50="Correctivo","Impacto",""))</f>
        <v/>
      </c>
      <c r="R50" s="36"/>
      <c r="S50" s="36"/>
      <c r="T50" s="37" t="str">
        <f t="shared" si="58"/>
        <v/>
      </c>
      <c r="U50" s="36"/>
      <c r="V50" s="36"/>
      <c r="W50" s="36"/>
      <c r="X50" s="38" t="str">
        <f t="shared" ref="X50:X52" si="62">IFERROR(IF(AND(Q49="Probabilidad",Q50="Probabilidad"),(Z49-(+Z49*T50)),IF(AND(Q49="Impacto",Q50="Probabilidad"),(Z48-(+Z48*T50)),IF(Q50="Impacto",Z49,""))),"")</f>
        <v/>
      </c>
      <c r="Y50" s="39" t="str">
        <f t="shared" si="31"/>
        <v/>
      </c>
      <c r="Z50" s="40" t="str">
        <f t="shared" si="59"/>
        <v/>
      </c>
      <c r="AA50" s="39" t="str">
        <f t="shared" si="36"/>
        <v/>
      </c>
      <c r="AB50" s="40" t="str">
        <f t="shared" ref="AB50:AB52" si="63">IFERROR(IF(AND(Q49="Impacto",Q50="Impacto"),(AB49-(+AB49*T50)),IF(AND(Q49="Probabilidad",Q50="Impacto"),(AB48-(+AB48*T50)),IF(Q50="Probabilidad",AB49,""))),"")</f>
        <v/>
      </c>
      <c r="AC50" s="41" t="str">
        <f>IFERROR(IF(OR(AND(Y50="Muy Baja",AA50="Leve"),AND(Y50="Muy Baja",AA50="Menor"),AND(Y50="Baja",AA50="Leve")),"Bajo",IF(OR(AND(Y50="Muy baja",AA50="Moderado"),AND(Y50="Baja",AA50="Menor"),AND(Y50="Baja",AA50="Moderado"),AND(Y50="Media",AA50="Leve"),AND(Y50="Media",AA50="Menor"),AND(Y50="Media",AA50="Moderado"),AND(Y50="Alta",AA50="Leve"),AND(Y50="Alta",AA50="Menor")),"Moderado",IF(OR(AND(Y50="Muy Baja",AA50="Mayor"),AND(Y50="Baja",AA50="Mayor"),AND(Y50="Media",AA50="Mayor"),AND(Y50="Alta",AA50="Moderado"),AND(Y50="Alta",AA50="Mayor"),AND(Y50="Muy Alta",AA50="Leve"),AND(Y50="Muy Alta",AA50="Menor"),AND(Y50="Muy Alta",AA50="Moderado"),AND(Y50="Muy Alta",AA50="Mayor")),"Alto",IF(OR(AND(Y50="Muy Baja",AA50="Catastrófico"),AND(Y50="Baja",AA50="Catastrófico"),AND(Y50="Media",AA50="Catastrófico"),AND(Y50="Alta",AA50="Catastrófico"),AND(Y50="Muy Alta",AA50="Catastrófico")),"Extremo","")))),"")</f>
        <v/>
      </c>
      <c r="AD50" s="25"/>
      <c r="AE50" s="29"/>
      <c r="AF50" s="42"/>
      <c r="AG50" s="43"/>
      <c r="AH50" s="43"/>
      <c r="AI50" s="29"/>
      <c r="AJ50" s="42"/>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row>
    <row r="51" spans="1:68" ht="151.5" hidden="1" customHeight="1" x14ac:dyDescent="0.3">
      <c r="A51" s="121"/>
      <c r="B51" s="123"/>
      <c r="C51" s="123"/>
      <c r="D51" s="123"/>
      <c r="E51" s="139"/>
      <c r="F51" s="123"/>
      <c r="G51" s="125"/>
      <c r="H51" s="117"/>
      <c r="I51" s="115"/>
      <c r="J51" s="113"/>
      <c r="K51" s="137">
        <f t="shared" si="57"/>
        <v>0</v>
      </c>
      <c r="L51" s="117"/>
      <c r="M51" s="115"/>
      <c r="N51" s="119"/>
      <c r="O51" s="46">
        <v>5</v>
      </c>
      <c r="P51" s="55"/>
      <c r="Q51" s="35" t="str">
        <f t="shared" si="61"/>
        <v/>
      </c>
      <c r="R51" s="36"/>
      <c r="S51" s="36"/>
      <c r="T51" s="37" t="str">
        <f t="shared" si="58"/>
        <v/>
      </c>
      <c r="U51" s="36"/>
      <c r="V51" s="36"/>
      <c r="W51" s="36"/>
      <c r="X51" s="38" t="str">
        <f t="shared" si="62"/>
        <v/>
      </c>
      <c r="Y51" s="39" t="str">
        <f t="shared" si="31"/>
        <v/>
      </c>
      <c r="Z51" s="40" t="str">
        <f t="shared" si="59"/>
        <v/>
      </c>
      <c r="AA51" s="39" t="str">
        <f t="shared" si="36"/>
        <v/>
      </c>
      <c r="AB51" s="40" t="str">
        <f t="shared" si="63"/>
        <v/>
      </c>
      <c r="AC51" s="41" t="str">
        <f t="shared" ref="AC51:AC52" si="64">IFERROR(IF(OR(AND(Y51="Muy Baja",AA51="Leve"),AND(Y51="Muy Baja",AA51="Menor"),AND(Y51="Baja",AA51="Leve")),"Bajo",IF(OR(AND(Y51="Muy baja",AA51="Moderado"),AND(Y51="Baja",AA51="Menor"),AND(Y51="Baja",AA51="Moderado"),AND(Y51="Media",AA51="Leve"),AND(Y51="Media",AA51="Menor"),AND(Y51="Media",AA51="Moderado"),AND(Y51="Alta",AA51="Leve"),AND(Y51="Alta",AA51="Menor")),"Moderado",IF(OR(AND(Y51="Muy Baja",AA51="Mayor"),AND(Y51="Baja",AA51="Mayor"),AND(Y51="Media",AA51="Mayor"),AND(Y51="Alta",AA51="Moderado"),AND(Y51="Alta",AA51="Mayor"),AND(Y51="Muy Alta",AA51="Leve"),AND(Y51="Muy Alta",AA51="Menor"),AND(Y51="Muy Alta",AA51="Moderado"),AND(Y51="Muy Alta",AA51="Mayor")),"Alto",IF(OR(AND(Y51="Muy Baja",AA51="Catastrófico"),AND(Y51="Baja",AA51="Catastrófico"),AND(Y51="Media",AA51="Catastrófico"),AND(Y51="Alta",AA51="Catastrófico"),AND(Y51="Muy Alta",AA51="Catastrófico")),"Extremo","")))),"")</f>
        <v/>
      </c>
      <c r="AD51" s="25"/>
      <c r="AE51" s="29"/>
      <c r="AF51" s="42"/>
      <c r="AG51" s="43"/>
      <c r="AH51" s="43"/>
      <c r="AI51" s="29"/>
      <c r="AJ51" s="42"/>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row>
    <row r="52" spans="1:68" ht="151.5" hidden="1" customHeight="1" x14ac:dyDescent="0.3">
      <c r="A52" s="121"/>
      <c r="B52" s="126"/>
      <c r="C52" s="126"/>
      <c r="D52" s="126"/>
      <c r="E52" s="161"/>
      <c r="F52" s="126"/>
      <c r="G52" s="133"/>
      <c r="H52" s="158"/>
      <c r="I52" s="159"/>
      <c r="J52" s="157"/>
      <c r="K52" s="143">
        <f t="shared" si="57"/>
        <v>0</v>
      </c>
      <c r="L52" s="158"/>
      <c r="M52" s="159"/>
      <c r="N52" s="160"/>
      <c r="O52" s="46">
        <v>6</v>
      </c>
      <c r="P52" s="55"/>
      <c r="Q52" s="35" t="str">
        <f t="shared" si="61"/>
        <v/>
      </c>
      <c r="R52" s="36"/>
      <c r="S52" s="36"/>
      <c r="T52" s="37" t="str">
        <f t="shared" si="58"/>
        <v/>
      </c>
      <c r="U52" s="36"/>
      <c r="V52" s="36"/>
      <c r="W52" s="36"/>
      <c r="X52" s="38" t="str">
        <f t="shared" si="62"/>
        <v/>
      </c>
      <c r="Y52" s="39" t="str">
        <f t="shared" si="31"/>
        <v/>
      </c>
      <c r="Z52" s="40" t="str">
        <f t="shared" si="59"/>
        <v/>
      </c>
      <c r="AA52" s="39" t="str">
        <f t="shared" si="36"/>
        <v/>
      </c>
      <c r="AB52" s="40" t="str">
        <f t="shared" si="63"/>
        <v/>
      </c>
      <c r="AC52" s="41" t="str">
        <f t="shared" si="64"/>
        <v/>
      </c>
      <c r="AD52" s="25"/>
      <c r="AE52" s="29"/>
      <c r="AF52" s="42"/>
      <c r="AG52" s="43"/>
      <c r="AH52" s="43"/>
      <c r="AI52" s="29"/>
      <c r="AJ52" s="42"/>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row>
    <row r="53" spans="1:68" ht="151.5" hidden="1" customHeight="1" x14ac:dyDescent="0.3">
      <c r="A53" s="121"/>
      <c r="B53" s="130"/>
      <c r="C53" s="130"/>
      <c r="D53" s="130"/>
      <c r="E53" s="156"/>
      <c r="F53" s="130"/>
      <c r="G53" s="153"/>
      <c r="H53" s="144" t="str">
        <f>IF(G53&lt;=0,"",IF(G53&lt;=2,"Muy Baja",IF(G53&lt;=24,"Baja",IF(G53&lt;=500,"Media",IF(G53&lt;=5000,"Alta","Muy Alta")))))</f>
        <v/>
      </c>
      <c r="I53" s="136" t="str">
        <f>IF(H53="","",IF(H53="Muy Baja",0.2,IF(H53="Baja",0.4,IF(H53="Media",0.6,IF(H53="Alta",0.8,IF(H53="Muy Alta",1,))))))</f>
        <v/>
      </c>
      <c r="J53" s="140"/>
      <c r="K53" s="136">
        <f>IF(NOT(ISERROR(MATCH(J53,'[6]Tabla Impacto'!$B$221:$B$223,0))),'[6]Tabla Impacto'!$F$223&amp;"Por favor no seleccionar los criterios de impacto(Afectación Económica o presupuestal y Pérdida Reputacional)",J53)</f>
        <v>0</v>
      </c>
      <c r="L53" s="144" t="str">
        <f>IF(OR(K53='[6]Tabla Impacto'!$C$11,K53='[6]Tabla Impacto'!$D$11),"Leve",IF(OR(K53='[6]Tabla Impacto'!$C$12,K53='[6]Tabla Impacto'!$D$12),"Menor",IF(OR(K53='[6]Tabla Impacto'!$C$13,K53='[6]Tabla Impacto'!$D$13),"Moderado",IF(OR(K53='[6]Tabla Impacto'!$C$14,K53='[6]Tabla Impacto'!$D$14),"Mayor",IF(OR(K53='[6]Tabla Impacto'!$C$15,K53='[6]Tabla Impacto'!$D$15),"Catastrófico","")))))</f>
        <v/>
      </c>
      <c r="M53" s="136" t="str">
        <f>IF(L53="","",IF(L53="Leve",0.2,IF(L53="Menor",0.4,IF(L53="Moderado",0.6,IF(L53="Mayor",0.8,IF(L53="Catastrófico",1,))))))</f>
        <v/>
      </c>
      <c r="N53" s="147" t="str">
        <f>IF(OR(AND(H53="Muy Baja",L53="Leve"),AND(H53="Muy Baja",L53="Menor"),AND(H53="Baja",L53="Leve")),"Bajo",IF(OR(AND(H53="Muy baja",L53="Moderado"),AND(H53="Baja",L53="Menor"),AND(H53="Baja",L53="Moderado"),AND(H53="Media",L53="Leve"),AND(H53="Media",L53="Menor"),AND(H53="Media",L53="Moderado"),AND(H53="Alta",L53="Leve"),AND(H53="Alta",L53="Menor")),"Moderado",IF(OR(AND(H53="Muy Baja",L53="Mayor"),AND(H53="Baja",L53="Mayor"),AND(H53="Media",L53="Mayor"),AND(H53="Alta",L53="Moderado"),AND(H53="Alta",L53="Mayor"),AND(H53="Muy Alta",L53="Leve"),AND(H53="Muy Alta",L53="Menor"),AND(H53="Muy Alta",L53="Moderado"),AND(H53="Muy Alta",L53="Mayor")),"Alto",IF(OR(AND(H53="Muy Baja",L53="Catastrófico"),AND(H53="Baja",L53="Catastrófico"),AND(H53="Media",L53="Catastrófico"),AND(H53="Alta",L53="Catastrófico"),AND(H53="Muy Alta",L53="Catastrófico")),"Extremo",""))))</f>
        <v/>
      </c>
      <c r="O53" s="46">
        <v>1</v>
      </c>
      <c r="P53" s="55"/>
      <c r="Q53" s="35" t="str">
        <f>IF(OR(R53="Preventivo",R53="Detectivo"),"Probabilidad",IF(R53="Correctivo","Impacto",""))</f>
        <v/>
      </c>
      <c r="R53" s="36"/>
      <c r="S53" s="36"/>
      <c r="T53" s="37" t="str">
        <f>IF(AND(R53="Preventivo",S53="Automático"),"50%",IF(AND(R53="Preventivo",S53="Manual"),"40%",IF(AND(R53="Detectivo",S53="Automático"),"40%",IF(AND(R53="Detectivo",S53="Manual"),"30%",IF(AND(R53="Correctivo",S53="Automático"),"35%",IF(AND(R53="Correctivo",S53="Manual"),"25%",""))))))</f>
        <v/>
      </c>
      <c r="U53" s="36"/>
      <c r="V53" s="36"/>
      <c r="W53" s="36"/>
      <c r="X53" s="38" t="str">
        <f>IFERROR(IF(Q53="Probabilidad",(I53-(+I53*T53)),IF(Q53="Impacto",I53,"")),"")</f>
        <v/>
      </c>
      <c r="Y53" s="39" t="str">
        <f>IFERROR(IF(X53="","",IF(X53&lt;=0.2,"Muy Baja",IF(X53&lt;=0.4,"Baja",IF(X53&lt;=0.6,"Media",IF(X53&lt;=0.8,"Alta","Muy Alta"))))),"")</f>
        <v/>
      </c>
      <c r="Z53" s="40" t="str">
        <f>+X53</f>
        <v/>
      </c>
      <c r="AA53" s="39" t="str">
        <f>IFERROR(IF(AB53="","",IF(AB53&lt;=0.2,"Leve",IF(AB53&lt;=0.4,"Menor",IF(AB53&lt;=0.6,"Moderado",IF(AB53&lt;=0.8,"Mayor","Catastrófico"))))),"")</f>
        <v/>
      </c>
      <c r="AB53" s="40" t="str">
        <f>IFERROR(IF(Q53="Impacto",(M53-(+M53*T53)),IF(Q53="Probabilidad",M53,"")),"")</f>
        <v/>
      </c>
      <c r="AC53" s="41" t="str">
        <f>IFERROR(IF(OR(AND(Y53="Muy Baja",AA53="Leve"),AND(Y53="Muy Baja",AA53="Menor"),AND(Y53="Baja",AA53="Leve")),"Bajo",IF(OR(AND(Y53="Muy baja",AA53="Moderado"),AND(Y53="Baja",AA53="Menor"),AND(Y53="Baja",AA53="Moderado"),AND(Y53="Media",AA53="Leve"),AND(Y53="Media",AA53="Menor"),AND(Y53="Media",AA53="Moderado"),AND(Y53="Alta",AA53="Leve"),AND(Y53="Alta",AA53="Menor")),"Moderado",IF(OR(AND(Y53="Muy Baja",AA53="Mayor"),AND(Y53="Baja",AA53="Mayor"),AND(Y53="Media",AA53="Mayor"),AND(Y53="Alta",AA53="Moderado"),AND(Y53="Alta",AA53="Mayor"),AND(Y53="Muy Alta",AA53="Leve"),AND(Y53="Muy Alta",AA53="Menor"),AND(Y53="Muy Alta",AA53="Moderado"),AND(Y53="Muy Alta",AA53="Mayor")),"Alto",IF(OR(AND(Y53="Muy Baja",AA53="Catastrófico"),AND(Y53="Baja",AA53="Catastrófico"),AND(Y53="Media",AA53="Catastrófico"),AND(Y53="Alta",AA53="Catastrófico"),AND(Y53="Muy Alta",AA53="Catastrófico")),"Extremo","")))),"")</f>
        <v/>
      </c>
      <c r="AD53" s="25"/>
      <c r="AE53" s="29"/>
      <c r="AF53" s="42"/>
      <c r="AG53" s="43"/>
      <c r="AH53" s="43"/>
      <c r="AI53" s="29"/>
      <c r="AJ53" s="42"/>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row>
    <row r="54" spans="1:68" ht="151.5" hidden="1" customHeight="1" x14ac:dyDescent="0.3">
      <c r="A54" s="121"/>
      <c r="B54" s="131"/>
      <c r="C54" s="131"/>
      <c r="D54" s="131"/>
      <c r="E54" s="151"/>
      <c r="F54" s="131"/>
      <c r="G54" s="154"/>
      <c r="H54" s="145"/>
      <c r="I54" s="137"/>
      <c r="J54" s="141"/>
      <c r="K54" s="137">
        <f t="shared" ref="K54:K58" si="65">IF(NOT(ISERROR(MATCH(J54,_xlfn.ANCHORARRAY(E65),0))),I67&amp;"Por favor no seleccionar los criterios de impacto",J54)</f>
        <v>0</v>
      </c>
      <c r="L54" s="145"/>
      <c r="M54" s="137"/>
      <c r="N54" s="148"/>
      <c r="O54" s="46">
        <v>2</v>
      </c>
      <c r="P54" s="55"/>
      <c r="Q54" s="35" t="str">
        <f>IF(OR(R54="Preventivo",R54="Detectivo"),"Probabilidad",IF(R54="Correctivo","Impacto",""))</f>
        <v/>
      </c>
      <c r="R54" s="36"/>
      <c r="S54" s="36"/>
      <c r="T54" s="37" t="str">
        <f t="shared" ref="T54:T58" si="66">IF(AND(R54="Preventivo",S54="Automático"),"50%",IF(AND(R54="Preventivo",S54="Manual"),"40%",IF(AND(R54="Detectivo",S54="Automático"),"40%",IF(AND(R54="Detectivo",S54="Manual"),"30%",IF(AND(R54="Correctivo",S54="Automático"),"35%",IF(AND(R54="Correctivo",S54="Manual"),"25%",""))))))</f>
        <v/>
      </c>
      <c r="U54" s="36"/>
      <c r="V54" s="36"/>
      <c r="W54" s="36"/>
      <c r="X54" s="38" t="str">
        <f>IFERROR(IF(AND(Q53="Probabilidad",Q54="Probabilidad"),(Z53-(+Z53*T54)),IF(Q54="Probabilidad",(I53-(+I53*T54)),IF(Q54="Impacto",Z53,""))),"")</f>
        <v/>
      </c>
      <c r="Y54" s="39" t="str">
        <f t="shared" si="31"/>
        <v/>
      </c>
      <c r="Z54" s="40" t="str">
        <f t="shared" ref="Z54:Z58" si="67">+X54</f>
        <v/>
      </c>
      <c r="AA54" s="39" t="str">
        <f t="shared" si="36"/>
        <v/>
      </c>
      <c r="AB54" s="40" t="str">
        <f>IFERROR(IF(AND(Q53="Impacto",Q54="Impacto"),(AB53-(+AB53*T54)),IF(Q54="Impacto",(M53-(+M53*T54)),IF(Q54="Probabilidad",AB53,""))),"")</f>
        <v/>
      </c>
      <c r="AC54" s="41" t="str">
        <f t="shared" ref="AC54:AC55" si="68">IFERROR(IF(OR(AND(Y54="Muy Baja",AA54="Leve"),AND(Y54="Muy Baja",AA54="Menor"),AND(Y54="Baja",AA54="Leve")),"Bajo",IF(OR(AND(Y54="Muy baja",AA54="Moderado"),AND(Y54="Baja",AA54="Menor"),AND(Y54="Baja",AA54="Moderado"),AND(Y54="Media",AA54="Leve"),AND(Y54="Media",AA54="Menor"),AND(Y54="Media",AA54="Moderado"),AND(Y54="Alta",AA54="Leve"),AND(Y54="Alta",AA54="Menor")),"Moderado",IF(OR(AND(Y54="Muy Baja",AA54="Mayor"),AND(Y54="Baja",AA54="Mayor"),AND(Y54="Media",AA54="Mayor"),AND(Y54="Alta",AA54="Moderado"),AND(Y54="Alta",AA54="Mayor"),AND(Y54="Muy Alta",AA54="Leve"),AND(Y54="Muy Alta",AA54="Menor"),AND(Y54="Muy Alta",AA54="Moderado"),AND(Y54="Muy Alta",AA54="Mayor")),"Alto",IF(OR(AND(Y54="Muy Baja",AA54="Catastrófico"),AND(Y54="Baja",AA54="Catastrófico"),AND(Y54="Media",AA54="Catastrófico"),AND(Y54="Alta",AA54="Catastrófico"),AND(Y54="Muy Alta",AA54="Catastrófico")),"Extremo","")))),"")</f>
        <v/>
      </c>
      <c r="AD54" s="25"/>
      <c r="AE54" s="29"/>
      <c r="AF54" s="42"/>
      <c r="AG54" s="43"/>
      <c r="AH54" s="43"/>
      <c r="AI54" s="29"/>
      <c r="AJ54" s="42"/>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row>
    <row r="55" spans="1:68" ht="151.5" hidden="1" customHeight="1" x14ac:dyDescent="0.3">
      <c r="A55" s="121"/>
      <c r="B55" s="131"/>
      <c r="C55" s="131"/>
      <c r="D55" s="131"/>
      <c r="E55" s="151"/>
      <c r="F55" s="131"/>
      <c r="G55" s="154"/>
      <c r="H55" s="145"/>
      <c r="I55" s="137"/>
      <c r="J55" s="141"/>
      <c r="K55" s="137">
        <f t="shared" si="65"/>
        <v>0</v>
      </c>
      <c r="L55" s="145"/>
      <c r="M55" s="137"/>
      <c r="N55" s="148"/>
      <c r="O55" s="46">
        <v>3</v>
      </c>
      <c r="P55" s="58"/>
      <c r="Q55" s="35" t="str">
        <f>IF(OR(R55="Preventivo",R55="Detectivo"),"Probabilidad",IF(R55="Correctivo","Impacto",""))</f>
        <v/>
      </c>
      <c r="R55" s="36"/>
      <c r="S55" s="36"/>
      <c r="T55" s="37" t="str">
        <f t="shared" si="66"/>
        <v/>
      </c>
      <c r="U55" s="36"/>
      <c r="V55" s="36"/>
      <c r="W55" s="36"/>
      <c r="X55" s="38" t="str">
        <f>IFERROR(IF(AND(Q54="Probabilidad",Q55="Probabilidad"),(Z54-(+Z54*T55)),IF(AND(Q54="Impacto",Q55="Probabilidad"),(Z53-(+Z53*T55)),IF(Q55="Impacto",Z54,""))),"")</f>
        <v/>
      </c>
      <c r="Y55" s="39" t="str">
        <f t="shared" si="31"/>
        <v/>
      </c>
      <c r="Z55" s="40" t="str">
        <f t="shared" si="67"/>
        <v/>
      </c>
      <c r="AA55" s="39" t="str">
        <f t="shared" si="36"/>
        <v/>
      </c>
      <c r="AB55" s="40" t="str">
        <f>IFERROR(IF(AND(Q54="Impacto",Q55="Impacto"),(AB54-(+AB54*T55)),IF(AND(Q54="Probabilidad",Q55="Impacto"),(AB53-(+AB53*T55)),IF(Q55="Probabilidad",AB54,""))),"")</f>
        <v/>
      </c>
      <c r="AC55" s="41" t="str">
        <f t="shared" si="68"/>
        <v/>
      </c>
      <c r="AD55" s="25"/>
      <c r="AE55" s="29"/>
      <c r="AF55" s="42"/>
      <c r="AG55" s="43"/>
      <c r="AH55" s="43"/>
      <c r="AI55" s="29"/>
      <c r="AJ55" s="42"/>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row>
    <row r="56" spans="1:68" ht="151.5" hidden="1" customHeight="1" x14ac:dyDescent="0.3">
      <c r="A56" s="121"/>
      <c r="B56" s="131"/>
      <c r="C56" s="131"/>
      <c r="D56" s="131"/>
      <c r="E56" s="151"/>
      <c r="F56" s="131"/>
      <c r="G56" s="154"/>
      <c r="H56" s="145"/>
      <c r="I56" s="137"/>
      <c r="J56" s="141"/>
      <c r="K56" s="137">
        <f t="shared" si="65"/>
        <v>0</v>
      </c>
      <c r="L56" s="145"/>
      <c r="M56" s="137"/>
      <c r="N56" s="148"/>
      <c r="O56" s="46">
        <v>4</v>
      </c>
      <c r="P56" s="55"/>
      <c r="Q56" s="35" t="str">
        <f t="shared" ref="Q56:Q58" si="69">IF(OR(R56="Preventivo",R56="Detectivo"),"Probabilidad",IF(R56="Correctivo","Impacto",""))</f>
        <v/>
      </c>
      <c r="R56" s="36"/>
      <c r="S56" s="36"/>
      <c r="T56" s="37" t="str">
        <f t="shared" si="66"/>
        <v/>
      </c>
      <c r="U56" s="36"/>
      <c r="V56" s="36"/>
      <c r="W56" s="36"/>
      <c r="X56" s="38" t="str">
        <f t="shared" ref="X56:X58" si="70">IFERROR(IF(AND(Q55="Probabilidad",Q56="Probabilidad"),(Z55-(+Z55*T56)),IF(AND(Q55="Impacto",Q56="Probabilidad"),(Z54-(+Z54*T56)),IF(Q56="Impacto",Z55,""))),"")</f>
        <v/>
      </c>
      <c r="Y56" s="39" t="str">
        <f t="shared" si="31"/>
        <v/>
      </c>
      <c r="Z56" s="40" t="str">
        <f t="shared" si="67"/>
        <v/>
      </c>
      <c r="AA56" s="39" t="str">
        <f t="shared" si="36"/>
        <v/>
      </c>
      <c r="AB56" s="40" t="str">
        <f t="shared" ref="AB56:AB58" si="71">IFERROR(IF(AND(Q55="Impacto",Q56="Impacto"),(AB55-(+AB55*T56)),IF(AND(Q55="Probabilidad",Q56="Impacto"),(AB54-(+AB54*T56)),IF(Q56="Probabilidad",AB55,""))),"")</f>
        <v/>
      </c>
      <c r="AC56" s="41" t="str">
        <f>IFERROR(IF(OR(AND(Y56="Muy Baja",AA56="Leve"),AND(Y56="Muy Baja",AA56="Menor"),AND(Y56="Baja",AA56="Leve")),"Bajo",IF(OR(AND(Y56="Muy baja",AA56="Moderado"),AND(Y56="Baja",AA56="Menor"),AND(Y56="Baja",AA56="Moderado"),AND(Y56="Media",AA56="Leve"),AND(Y56="Media",AA56="Menor"),AND(Y56="Media",AA56="Moderado"),AND(Y56="Alta",AA56="Leve"),AND(Y56="Alta",AA56="Menor")),"Moderado",IF(OR(AND(Y56="Muy Baja",AA56="Mayor"),AND(Y56="Baja",AA56="Mayor"),AND(Y56="Media",AA56="Mayor"),AND(Y56="Alta",AA56="Moderado"),AND(Y56="Alta",AA56="Mayor"),AND(Y56="Muy Alta",AA56="Leve"),AND(Y56="Muy Alta",AA56="Menor"),AND(Y56="Muy Alta",AA56="Moderado"),AND(Y56="Muy Alta",AA56="Mayor")),"Alto",IF(OR(AND(Y56="Muy Baja",AA56="Catastrófico"),AND(Y56="Baja",AA56="Catastrófico"),AND(Y56="Media",AA56="Catastrófico"),AND(Y56="Alta",AA56="Catastrófico"),AND(Y56="Muy Alta",AA56="Catastrófico")),"Extremo","")))),"")</f>
        <v/>
      </c>
      <c r="AD56" s="25"/>
      <c r="AE56" s="29"/>
      <c r="AF56" s="42"/>
      <c r="AG56" s="43"/>
      <c r="AH56" s="43"/>
      <c r="AI56" s="29"/>
      <c r="AJ56" s="42"/>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row>
    <row r="57" spans="1:68" ht="151.5" hidden="1" customHeight="1" x14ac:dyDescent="0.3">
      <c r="A57" s="121"/>
      <c r="B57" s="131"/>
      <c r="C57" s="131"/>
      <c r="D57" s="131"/>
      <c r="E57" s="151"/>
      <c r="F57" s="131"/>
      <c r="G57" s="154"/>
      <c r="H57" s="145"/>
      <c r="I57" s="137"/>
      <c r="J57" s="141"/>
      <c r="K57" s="137">
        <f t="shared" si="65"/>
        <v>0</v>
      </c>
      <c r="L57" s="145"/>
      <c r="M57" s="137"/>
      <c r="N57" s="148"/>
      <c r="O57" s="46">
        <v>5</v>
      </c>
      <c r="P57" s="55"/>
      <c r="Q57" s="35" t="str">
        <f t="shared" si="69"/>
        <v/>
      </c>
      <c r="R57" s="36"/>
      <c r="S57" s="36"/>
      <c r="T57" s="37" t="str">
        <f t="shared" si="66"/>
        <v/>
      </c>
      <c r="U57" s="36"/>
      <c r="V57" s="36"/>
      <c r="W57" s="36"/>
      <c r="X57" s="38" t="str">
        <f t="shared" si="70"/>
        <v/>
      </c>
      <c r="Y57" s="39" t="str">
        <f t="shared" si="31"/>
        <v/>
      </c>
      <c r="Z57" s="40" t="str">
        <f t="shared" si="67"/>
        <v/>
      </c>
      <c r="AA57" s="39" t="str">
        <f t="shared" si="36"/>
        <v/>
      </c>
      <c r="AB57" s="40" t="str">
        <f t="shared" si="71"/>
        <v/>
      </c>
      <c r="AC57" s="41" t="str">
        <f t="shared" ref="AC57" si="72">IFERROR(IF(OR(AND(Y57="Muy Baja",AA57="Leve"),AND(Y57="Muy Baja",AA57="Menor"),AND(Y57="Baja",AA57="Leve")),"Bajo",IF(OR(AND(Y57="Muy baja",AA57="Moderado"),AND(Y57="Baja",AA57="Menor"),AND(Y57="Baja",AA57="Moderado"),AND(Y57="Media",AA57="Leve"),AND(Y57="Media",AA57="Menor"),AND(Y57="Media",AA57="Moderado"),AND(Y57="Alta",AA57="Leve"),AND(Y57="Alta",AA57="Menor")),"Moderado",IF(OR(AND(Y57="Muy Baja",AA57="Mayor"),AND(Y57="Baja",AA57="Mayor"),AND(Y57="Media",AA57="Mayor"),AND(Y57="Alta",AA57="Moderado"),AND(Y57="Alta",AA57="Mayor"),AND(Y57="Muy Alta",AA57="Leve"),AND(Y57="Muy Alta",AA57="Menor"),AND(Y57="Muy Alta",AA57="Moderado"),AND(Y57="Muy Alta",AA57="Mayor")),"Alto",IF(OR(AND(Y57="Muy Baja",AA57="Catastrófico"),AND(Y57="Baja",AA57="Catastrófico"),AND(Y57="Media",AA57="Catastrófico"),AND(Y57="Alta",AA57="Catastrófico"),AND(Y57="Muy Alta",AA57="Catastrófico")),"Extremo","")))),"")</f>
        <v/>
      </c>
      <c r="AD57" s="25"/>
      <c r="AE57" s="29"/>
      <c r="AF57" s="42"/>
      <c r="AG57" s="43"/>
      <c r="AH57" s="43"/>
      <c r="AI57" s="29"/>
      <c r="AJ57" s="42"/>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row>
    <row r="58" spans="1:68" ht="151.5" hidden="1" customHeight="1" x14ac:dyDescent="0.3">
      <c r="A58" s="121"/>
      <c r="B58" s="132"/>
      <c r="C58" s="132"/>
      <c r="D58" s="132"/>
      <c r="E58" s="152"/>
      <c r="F58" s="132"/>
      <c r="G58" s="155"/>
      <c r="H58" s="146"/>
      <c r="I58" s="143"/>
      <c r="J58" s="142"/>
      <c r="K58" s="143">
        <f t="shared" si="65"/>
        <v>0</v>
      </c>
      <c r="L58" s="146"/>
      <c r="M58" s="143"/>
      <c r="N58" s="149"/>
      <c r="O58" s="46">
        <v>6</v>
      </c>
      <c r="P58" s="55"/>
      <c r="Q58" s="35" t="str">
        <f t="shared" si="69"/>
        <v/>
      </c>
      <c r="R58" s="36"/>
      <c r="S58" s="36"/>
      <c r="T58" s="37" t="str">
        <f t="shared" si="66"/>
        <v/>
      </c>
      <c r="U58" s="36"/>
      <c r="V58" s="36"/>
      <c r="W58" s="36"/>
      <c r="X58" s="38" t="str">
        <f t="shared" si="70"/>
        <v/>
      </c>
      <c r="Y58" s="39" t="str">
        <f t="shared" si="31"/>
        <v/>
      </c>
      <c r="Z58" s="40" t="str">
        <f t="shared" si="67"/>
        <v/>
      </c>
      <c r="AA58" s="39" t="str">
        <f>IFERROR(IF(AB58="","",IF(AB58&lt;=0.2,"Leve",IF(AB58&lt;=0.4,"Menor",IF(AB58&lt;=0.6,"Moderado",IF(AB58&lt;=0.8,"Mayor","Catastrófico"))))),"")</f>
        <v/>
      </c>
      <c r="AB58" s="40" t="str">
        <f t="shared" si="71"/>
        <v/>
      </c>
      <c r="AC58" s="41" t="str">
        <f>IFERROR(IF(OR(AND(Y58="Muy Baja",AA58="Leve"),AND(Y58="Muy Baja",AA58="Menor"),AND(Y58="Baja",AA58="Leve")),"Bajo",IF(OR(AND(Y58="Muy baja",AA58="Moderado"),AND(Y58="Baja",AA58="Menor"),AND(Y58="Baja",AA58="Moderado"),AND(Y58="Media",AA58="Leve"),AND(Y58="Media",AA58="Menor"),AND(Y58="Media",AA58="Moderado"),AND(Y58="Alta",AA58="Leve"),AND(Y58="Alta",AA58="Menor")),"Moderado",IF(OR(AND(Y58="Muy Baja",AA58="Mayor"),AND(Y58="Baja",AA58="Mayor"),AND(Y58="Media",AA58="Mayor"),AND(Y58="Alta",AA58="Moderado"),AND(Y58="Alta",AA58="Mayor"),AND(Y58="Muy Alta",AA58="Leve"),AND(Y58="Muy Alta",AA58="Menor"),AND(Y58="Muy Alta",AA58="Moderado"),AND(Y58="Muy Alta",AA58="Mayor")),"Alto",IF(OR(AND(Y58="Muy Baja",AA58="Catastrófico"),AND(Y58="Baja",AA58="Catastrófico"),AND(Y58="Media",AA58="Catastrófico"),AND(Y58="Alta",AA58="Catastrófico"),AND(Y58="Muy Alta",AA58="Catastrófico")),"Extremo","")))),"")</f>
        <v/>
      </c>
      <c r="AD58" s="25"/>
      <c r="AE58" s="29"/>
      <c r="AF58" s="42"/>
      <c r="AG58" s="43"/>
      <c r="AH58" s="43"/>
      <c r="AI58" s="29"/>
      <c r="AJ58" s="42"/>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row>
    <row r="59" spans="1:68" ht="151.5" hidden="1" customHeight="1" x14ac:dyDescent="0.3">
      <c r="A59" s="121"/>
      <c r="B59" s="130"/>
      <c r="C59" s="130"/>
      <c r="D59" s="130"/>
      <c r="E59" s="150"/>
      <c r="F59" s="130"/>
      <c r="G59" s="153"/>
      <c r="H59" s="144" t="str">
        <f>IF(G59&lt;=0,"",IF(G59&lt;=2,"Muy Baja",IF(G59&lt;=24,"Baja",IF(G59&lt;=500,"Media",IF(G59&lt;=5000,"Alta","Muy Alta")))))</f>
        <v/>
      </c>
      <c r="I59" s="136" t="str">
        <f>IF(H59="","",IF(H59="Muy Baja",0.2,IF(H59="Baja",0.4,IF(H59="Media",0.6,IF(H59="Alta",0.8,IF(H59="Muy Alta",1,))))))</f>
        <v/>
      </c>
      <c r="J59" s="140"/>
      <c r="K59" s="136">
        <f>IF(NOT(ISERROR(MATCH(J59,'[6]Tabla Impacto'!$B$221:$B$223,0))),'[6]Tabla Impacto'!$F$223&amp;"Por favor no seleccionar los criterios de impacto(Afectación Económica o presupuestal y Pérdida Reputacional)",J59)</f>
        <v>0</v>
      </c>
      <c r="L59" s="144" t="str">
        <f>IF(OR(K59='[6]Tabla Impacto'!$C$11,K59='[6]Tabla Impacto'!$D$11),"Leve",IF(OR(K59='[6]Tabla Impacto'!$C$12,K59='[6]Tabla Impacto'!$D$12),"Menor",IF(OR(K59='[6]Tabla Impacto'!$C$13,K59='[6]Tabla Impacto'!$D$13),"Moderado",IF(OR(K59='[6]Tabla Impacto'!$C$14,K59='[6]Tabla Impacto'!$D$14),"Mayor",IF(OR(K59='[6]Tabla Impacto'!$C$15,K59='[6]Tabla Impacto'!$D$15),"Catastrófico","")))))</f>
        <v/>
      </c>
      <c r="M59" s="136" t="str">
        <f>IF(L59="","",IF(L59="Leve",0.2,IF(L59="Menor",0.4,IF(L59="Moderado",0.6,IF(L59="Mayor",0.8,IF(L59="Catastrófico",1,))))))</f>
        <v/>
      </c>
      <c r="N59" s="147" t="str">
        <f>IF(OR(AND(H59="Muy Baja",L59="Leve"),AND(H59="Muy Baja",L59="Menor"),AND(H59="Baja",L59="Leve")),"Bajo",IF(OR(AND(H59="Muy baja",L59="Moderado"),AND(H59="Baja",L59="Menor"),AND(H59="Baja",L59="Moderado"),AND(H59="Media",L59="Leve"),AND(H59="Media",L59="Menor"),AND(H59="Media",L59="Moderado"),AND(H59="Alta",L59="Leve"),AND(H59="Alta",L59="Menor")),"Moderado",IF(OR(AND(H59="Muy Baja",L59="Mayor"),AND(H59="Baja",L59="Mayor"),AND(H59="Media",L59="Mayor"),AND(H59="Alta",L59="Moderado"),AND(H59="Alta",L59="Mayor"),AND(H59="Muy Alta",L59="Leve"),AND(H59="Muy Alta",L59="Menor"),AND(H59="Muy Alta",L59="Moderado"),AND(H59="Muy Alta",L59="Mayor")),"Alto",IF(OR(AND(H59="Muy Baja",L59="Catastrófico"),AND(H59="Baja",L59="Catastrófico"),AND(H59="Media",L59="Catastrófico"),AND(H59="Alta",L59="Catastrófico"),AND(H59="Muy Alta",L59="Catastrófico")),"Extremo",""))))</f>
        <v/>
      </c>
      <c r="O59" s="46">
        <v>1</v>
      </c>
      <c r="P59" s="55"/>
      <c r="Q59" s="35" t="str">
        <f>IF(OR(R59="Preventivo",R59="Detectivo"),"Probabilidad",IF(R59="Correctivo","Impacto",""))</f>
        <v/>
      </c>
      <c r="R59" s="36"/>
      <c r="S59" s="36"/>
      <c r="T59" s="37" t="str">
        <f>IF(AND(R59="Preventivo",S59="Automático"),"50%",IF(AND(R59="Preventivo",S59="Manual"),"40%",IF(AND(R59="Detectivo",S59="Automático"),"40%",IF(AND(R59="Detectivo",S59="Manual"),"30%",IF(AND(R59="Correctivo",S59="Automático"),"35%",IF(AND(R59="Correctivo",S59="Manual"),"25%",""))))))</f>
        <v/>
      </c>
      <c r="U59" s="36"/>
      <c r="V59" s="36"/>
      <c r="W59" s="36"/>
      <c r="X59" s="38" t="str">
        <f>IFERROR(IF(Q59="Probabilidad",(I59-(+I59*T59)),IF(Q59="Impacto",I59,"")),"")</f>
        <v/>
      </c>
      <c r="Y59" s="39" t="str">
        <f>IFERROR(IF(X59="","",IF(X59&lt;=0.2,"Muy Baja",IF(X59&lt;=0.4,"Baja",IF(X59&lt;=0.6,"Media",IF(X59&lt;=0.8,"Alta","Muy Alta"))))),"")</f>
        <v/>
      </c>
      <c r="Z59" s="40" t="str">
        <f>+X59</f>
        <v/>
      </c>
      <c r="AA59" s="39" t="str">
        <f>IFERROR(IF(AB59="","",IF(AB59&lt;=0.2,"Leve",IF(AB59&lt;=0.4,"Menor",IF(AB59&lt;=0.6,"Moderado",IF(AB59&lt;=0.8,"Mayor","Catastrófico"))))),"")</f>
        <v/>
      </c>
      <c r="AB59" s="40" t="str">
        <f>IFERROR(IF(Q59="Impacto",(M59-(+M59*T59)),IF(Q59="Probabilidad",M59,"")),"")</f>
        <v/>
      </c>
      <c r="AC59" s="41" t="str">
        <f>IFERROR(IF(OR(AND(Y59="Muy Baja",AA59="Leve"),AND(Y59="Muy Baja",AA59="Menor"),AND(Y59="Baja",AA59="Leve")),"Bajo",IF(OR(AND(Y59="Muy baja",AA59="Moderado"),AND(Y59="Baja",AA59="Menor"),AND(Y59="Baja",AA59="Moderado"),AND(Y59="Media",AA59="Leve"),AND(Y59="Media",AA59="Menor"),AND(Y59="Media",AA59="Moderado"),AND(Y59="Alta",AA59="Leve"),AND(Y59="Alta",AA59="Menor")),"Moderado",IF(OR(AND(Y59="Muy Baja",AA59="Mayor"),AND(Y59="Baja",AA59="Mayor"),AND(Y59="Media",AA59="Mayor"),AND(Y59="Alta",AA59="Moderado"),AND(Y59="Alta",AA59="Mayor"),AND(Y59="Muy Alta",AA59="Leve"),AND(Y59="Muy Alta",AA59="Menor"),AND(Y59="Muy Alta",AA59="Moderado"),AND(Y59="Muy Alta",AA59="Mayor")),"Alto",IF(OR(AND(Y59="Muy Baja",AA59="Catastrófico"),AND(Y59="Baja",AA59="Catastrófico"),AND(Y59="Media",AA59="Catastrófico"),AND(Y59="Alta",AA59="Catastrófico"),AND(Y59="Muy Alta",AA59="Catastrófico")),"Extremo","")))),"")</f>
        <v/>
      </c>
      <c r="AD59" s="25"/>
      <c r="AE59" s="29"/>
      <c r="AF59" s="42"/>
      <c r="AG59" s="43"/>
      <c r="AH59" s="43"/>
      <c r="AI59" s="29"/>
      <c r="AJ59" s="42"/>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row>
    <row r="60" spans="1:68" ht="151.5" hidden="1" customHeight="1" x14ac:dyDescent="0.3">
      <c r="A60" s="121"/>
      <c r="B60" s="131"/>
      <c r="C60" s="131"/>
      <c r="D60" s="131"/>
      <c r="E60" s="151"/>
      <c r="F60" s="131"/>
      <c r="G60" s="154"/>
      <c r="H60" s="145"/>
      <c r="I60" s="137"/>
      <c r="J60" s="141"/>
      <c r="K60" s="137">
        <f t="shared" ref="K60:K64" si="73">IF(NOT(ISERROR(MATCH(J60,_xlfn.ANCHORARRAY(E71),0))),I73&amp;"Por favor no seleccionar los criterios de impacto",J60)</f>
        <v>0</v>
      </c>
      <c r="L60" s="145"/>
      <c r="M60" s="137"/>
      <c r="N60" s="148"/>
      <c r="O60" s="46">
        <v>2</v>
      </c>
      <c r="P60" s="55"/>
      <c r="Q60" s="35" t="str">
        <f>IF(OR(R60="Preventivo",R60="Detectivo"),"Probabilidad",IF(R60="Correctivo","Impacto",""))</f>
        <v/>
      </c>
      <c r="R60" s="36"/>
      <c r="S60" s="36"/>
      <c r="T60" s="37" t="str">
        <f t="shared" ref="T60:T64" si="74">IF(AND(R60="Preventivo",S60="Automático"),"50%",IF(AND(R60="Preventivo",S60="Manual"),"40%",IF(AND(R60="Detectivo",S60="Automático"),"40%",IF(AND(R60="Detectivo",S60="Manual"),"30%",IF(AND(R60="Correctivo",S60="Automático"),"35%",IF(AND(R60="Correctivo",S60="Manual"),"25%",""))))))</f>
        <v/>
      </c>
      <c r="U60" s="36"/>
      <c r="V60" s="36"/>
      <c r="W60" s="36"/>
      <c r="X60" s="38" t="str">
        <f>IFERROR(IF(AND(Q59="Probabilidad",Q60="Probabilidad"),(Z59-(+Z59*T60)),IF(Q60="Probabilidad",(I59-(+I59*T60)),IF(Q60="Impacto",Z59,""))),"")</f>
        <v/>
      </c>
      <c r="Y60" s="39" t="str">
        <f t="shared" si="31"/>
        <v/>
      </c>
      <c r="Z60" s="40" t="str">
        <f t="shared" ref="Z60:Z64" si="75">+X60</f>
        <v/>
      </c>
      <c r="AA60" s="39" t="str">
        <f t="shared" si="36"/>
        <v/>
      </c>
      <c r="AB60" s="40" t="str">
        <f>IFERROR(IF(AND(Q59="Impacto",Q60="Impacto"),(AB59-(+AB59*T60)),IF(Q60="Impacto",(M59-(+M59*T60)),IF(Q60="Probabilidad",AB59,""))),"")</f>
        <v/>
      </c>
      <c r="AC60" s="41" t="str">
        <f t="shared" ref="AC60:AC61" si="76">IFERROR(IF(OR(AND(Y60="Muy Baja",AA60="Leve"),AND(Y60="Muy Baja",AA60="Menor"),AND(Y60="Baja",AA60="Leve")),"Bajo",IF(OR(AND(Y60="Muy baja",AA60="Moderado"),AND(Y60="Baja",AA60="Menor"),AND(Y60="Baja",AA60="Moderado"),AND(Y60="Media",AA60="Leve"),AND(Y60="Media",AA60="Menor"),AND(Y60="Media",AA60="Moderado"),AND(Y60="Alta",AA60="Leve"),AND(Y60="Alta",AA60="Menor")),"Moderado",IF(OR(AND(Y60="Muy Baja",AA60="Mayor"),AND(Y60="Baja",AA60="Mayor"),AND(Y60="Media",AA60="Mayor"),AND(Y60="Alta",AA60="Moderado"),AND(Y60="Alta",AA60="Mayor"),AND(Y60="Muy Alta",AA60="Leve"),AND(Y60="Muy Alta",AA60="Menor"),AND(Y60="Muy Alta",AA60="Moderado"),AND(Y60="Muy Alta",AA60="Mayor")),"Alto",IF(OR(AND(Y60="Muy Baja",AA60="Catastrófico"),AND(Y60="Baja",AA60="Catastrófico"),AND(Y60="Media",AA60="Catastrófico"),AND(Y60="Alta",AA60="Catastrófico"),AND(Y60="Muy Alta",AA60="Catastrófico")),"Extremo","")))),"")</f>
        <v/>
      </c>
      <c r="AD60" s="25"/>
      <c r="AE60" s="29"/>
      <c r="AF60" s="42"/>
      <c r="AG60" s="43"/>
      <c r="AH60" s="43"/>
      <c r="AI60" s="29"/>
      <c r="AJ60" s="42"/>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row>
    <row r="61" spans="1:68" ht="151.5" hidden="1" customHeight="1" x14ac:dyDescent="0.3">
      <c r="A61" s="121"/>
      <c r="B61" s="131"/>
      <c r="C61" s="131"/>
      <c r="D61" s="131"/>
      <c r="E61" s="151"/>
      <c r="F61" s="131"/>
      <c r="G61" s="154"/>
      <c r="H61" s="145"/>
      <c r="I61" s="137"/>
      <c r="J61" s="141"/>
      <c r="K61" s="137">
        <f t="shared" si="73"/>
        <v>0</v>
      </c>
      <c r="L61" s="145"/>
      <c r="M61" s="137"/>
      <c r="N61" s="148"/>
      <c r="O61" s="46">
        <v>3</v>
      </c>
      <c r="P61" s="58"/>
      <c r="Q61" s="35" t="str">
        <f>IF(OR(R61="Preventivo",R61="Detectivo"),"Probabilidad",IF(R61="Correctivo","Impacto",""))</f>
        <v/>
      </c>
      <c r="R61" s="36"/>
      <c r="S61" s="36"/>
      <c r="T61" s="37" t="str">
        <f t="shared" si="74"/>
        <v/>
      </c>
      <c r="U61" s="36"/>
      <c r="V61" s="36"/>
      <c r="W61" s="36"/>
      <c r="X61" s="38" t="str">
        <f>IFERROR(IF(AND(Q60="Probabilidad",Q61="Probabilidad"),(Z60-(+Z60*T61)),IF(AND(Q60="Impacto",Q61="Probabilidad"),(Z59-(+Z59*T61)),IF(Q61="Impacto",Z60,""))),"")</f>
        <v/>
      </c>
      <c r="Y61" s="39" t="str">
        <f t="shared" si="31"/>
        <v/>
      </c>
      <c r="Z61" s="40" t="str">
        <f t="shared" si="75"/>
        <v/>
      </c>
      <c r="AA61" s="39" t="str">
        <f t="shared" si="36"/>
        <v/>
      </c>
      <c r="AB61" s="40" t="str">
        <f>IFERROR(IF(AND(Q60="Impacto",Q61="Impacto"),(AB60-(+AB60*T61)),IF(AND(Q60="Probabilidad",Q61="Impacto"),(AB59-(+AB59*T61)),IF(Q61="Probabilidad",AB60,""))),"")</f>
        <v/>
      </c>
      <c r="AC61" s="41" t="str">
        <f t="shared" si="76"/>
        <v/>
      </c>
      <c r="AD61" s="25"/>
      <c r="AE61" s="29"/>
      <c r="AF61" s="42"/>
      <c r="AG61" s="43"/>
      <c r="AH61" s="43"/>
      <c r="AI61" s="29"/>
      <c r="AJ61" s="42"/>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row>
    <row r="62" spans="1:68" ht="151.5" hidden="1" customHeight="1" x14ac:dyDescent="0.3">
      <c r="A62" s="121"/>
      <c r="B62" s="131"/>
      <c r="C62" s="131"/>
      <c r="D62" s="131"/>
      <c r="E62" s="151"/>
      <c r="F62" s="131"/>
      <c r="G62" s="154"/>
      <c r="H62" s="145"/>
      <c r="I62" s="137"/>
      <c r="J62" s="141"/>
      <c r="K62" s="137">
        <f t="shared" si="73"/>
        <v>0</v>
      </c>
      <c r="L62" s="145"/>
      <c r="M62" s="137"/>
      <c r="N62" s="148"/>
      <c r="O62" s="46">
        <v>4</v>
      </c>
      <c r="P62" s="55"/>
      <c r="Q62" s="35" t="str">
        <f t="shared" ref="Q62:Q64" si="77">IF(OR(R62="Preventivo",R62="Detectivo"),"Probabilidad",IF(R62="Correctivo","Impacto",""))</f>
        <v/>
      </c>
      <c r="R62" s="36"/>
      <c r="S62" s="36"/>
      <c r="T62" s="37" t="str">
        <f t="shared" si="74"/>
        <v/>
      </c>
      <c r="U62" s="36"/>
      <c r="V62" s="36"/>
      <c r="W62" s="36"/>
      <c r="X62" s="38" t="str">
        <f t="shared" ref="X62:X64" si="78">IFERROR(IF(AND(Q61="Probabilidad",Q62="Probabilidad"),(Z61-(+Z61*T62)),IF(AND(Q61="Impacto",Q62="Probabilidad"),(Z60-(+Z60*T62)),IF(Q62="Impacto",Z61,""))),"")</f>
        <v/>
      </c>
      <c r="Y62" s="39" t="str">
        <f t="shared" si="31"/>
        <v/>
      </c>
      <c r="Z62" s="40" t="str">
        <f t="shared" si="75"/>
        <v/>
      </c>
      <c r="AA62" s="39" t="str">
        <f t="shared" si="36"/>
        <v/>
      </c>
      <c r="AB62" s="40" t="str">
        <f t="shared" ref="AB62:AB64" si="79">IFERROR(IF(AND(Q61="Impacto",Q62="Impacto"),(AB61-(+AB61*T62)),IF(AND(Q61="Probabilidad",Q62="Impacto"),(AB60-(+AB60*T62)),IF(Q62="Probabilidad",AB61,""))),"")</f>
        <v/>
      </c>
      <c r="AC62" s="41" t="str">
        <f>IFERROR(IF(OR(AND(Y62="Muy Baja",AA62="Leve"),AND(Y62="Muy Baja",AA62="Menor"),AND(Y62="Baja",AA62="Leve")),"Bajo",IF(OR(AND(Y62="Muy baja",AA62="Moderado"),AND(Y62="Baja",AA62="Menor"),AND(Y62="Baja",AA62="Moderado"),AND(Y62="Media",AA62="Leve"),AND(Y62="Media",AA62="Menor"),AND(Y62="Media",AA62="Moderado"),AND(Y62="Alta",AA62="Leve"),AND(Y62="Alta",AA62="Menor")),"Moderado",IF(OR(AND(Y62="Muy Baja",AA62="Mayor"),AND(Y62="Baja",AA62="Mayor"),AND(Y62="Media",AA62="Mayor"),AND(Y62="Alta",AA62="Moderado"),AND(Y62="Alta",AA62="Mayor"),AND(Y62="Muy Alta",AA62="Leve"),AND(Y62="Muy Alta",AA62="Menor"),AND(Y62="Muy Alta",AA62="Moderado"),AND(Y62="Muy Alta",AA62="Mayor")),"Alto",IF(OR(AND(Y62="Muy Baja",AA62="Catastrófico"),AND(Y62="Baja",AA62="Catastrófico"),AND(Y62="Media",AA62="Catastrófico"),AND(Y62="Alta",AA62="Catastrófico"),AND(Y62="Muy Alta",AA62="Catastrófico")),"Extremo","")))),"")</f>
        <v/>
      </c>
      <c r="AD62" s="25"/>
      <c r="AE62" s="29"/>
      <c r="AF62" s="42"/>
      <c r="AG62" s="43"/>
      <c r="AH62" s="43"/>
      <c r="AI62" s="29"/>
      <c r="AJ62" s="42"/>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row>
    <row r="63" spans="1:68" ht="151.5" hidden="1" customHeight="1" x14ac:dyDescent="0.3">
      <c r="A63" s="121"/>
      <c r="B63" s="131"/>
      <c r="C63" s="131"/>
      <c r="D63" s="131"/>
      <c r="E63" s="151"/>
      <c r="F63" s="131"/>
      <c r="G63" s="154"/>
      <c r="H63" s="145"/>
      <c r="I63" s="137"/>
      <c r="J63" s="141"/>
      <c r="K63" s="137">
        <f t="shared" si="73"/>
        <v>0</v>
      </c>
      <c r="L63" s="145"/>
      <c r="M63" s="137"/>
      <c r="N63" s="148"/>
      <c r="O63" s="46">
        <v>5</v>
      </c>
      <c r="P63" s="55"/>
      <c r="Q63" s="35" t="str">
        <f t="shared" si="77"/>
        <v/>
      </c>
      <c r="R63" s="36"/>
      <c r="S63" s="36"/>
      <c r="T63" s="37" t="str">
        <f t="shared" si="74"/>
        <v/>
      </c>
      <c r="U63" s="36"/>
      <c r="V63" s="36"/>
      <c r="W63" s="36"/>
      <c r="X63" s="38" t="str">
        <f t="shared" si="78"/>
        <v/>
      </c>
      <c r="Y63" s="39" t="str">
        <f t="shared" si="31"/>
        <v/>
      </c>
      <c r="Z63" s="40" t="str">
        <f t="shared" si="75"/>
        <v/>
      </c>
      <c r="AA63" s="39" t="str">
        <f t="shared" si="36"/>
        <v/>
      </c>
      <c r="AB63" s="40" t="str">
        <f t="shared" si="79"/>
        <v/>
      </c>
      <c r="AC63" s="41" t="str">
        <f t="shared" ref="AC63:AC64" si="80">IFERROR(IF(OR(AND(Y63="Muy Baja",AA63="Leve"),AND(Y63="Muy Baja",AA63="Menor"),AND(Y63="Baja",AA63="Leve")),"Bajo",IF(OR(AND(Y63="Muy baja",AA63="Moderado"),AND(Y63="Baja",AA63="Menor"),AND(Y63="Baja",AA63="Moderado"),AND(Y63="Media",AA63="Leve"),AND(Y63="Media",AA63="Menor"),AND(Y63="Media",AA63="Moderado"),AND(Y63="Alta",AA63="Leve"),AND(Y63="Alta",AA63="Menor")),"Moderado",IF(OR(AND(Y63="Muy Baja",AA63="Mayor"),AND(Y63="Baja",AA63="Mayor"),AND(Y63="Media",AA63="Mayor"),AND(Y63="Alta",AA63="Moderado"),AND(Y63="Alta",AA63="Mayor"),AND(Y63="Muy Alta",AA63="Leve"),AND(Y63="Muy Alta",AA63="Menor"),AND(Y63="Muy Alta",AA63="Moderado"),AND(Y63="Muy Alta",AA63="Mayor")),"Alto",IF(OR(AND(Y63="Muy Baja",AA63="Catastrófico"),AND(Y63="Baja",AA63="Catastrófico"),AND(Y63="Media",AA63="Catastrófico"),AND(Y63="Alta",AA63="Catastrófico"),AND(Y63="Muy Alta",AA63="Catastrófico")),"Extremo","")))),"")</f>
        <v/>
      </c>
      <c r="AD63" s="25"/>
      <c r="AE63" s="29"/>
      <c r="AF63" s="42"/>
      <c r="AG63" s="43"/>
      <c r="AH63" s="43"/>
      <c r="AI63" s="29"/>
      <c r="AJ63" s="42"/>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row>
    <row r="64" spans="1:68" ht="151.5" hidden="1" customHeight="1" x14ac:dyDescent="0.3">
      <c r="A64" s="121"/>
      <c r="B64" s="132"/>
      <c r="C64" s="132"/>
      <c r="D64" s="132"/>
      <c r="E64" s="152"/>
      <c r="F64" s="132"/>
      <c r="G64" s="155"/>
      <c r="H64" s="146"/>
      <c r="I64" s="143"/>
      <c r="J64" s="142"/>
      <c r="K64" s="143">
        <f t="shared" si="73"/>
        <v>0</v>
      </c>
      <c r="L64" s="146"/>
      <c r="M64" s="143"/>
      <c r="N64" s="149"/>
      <c r="O64" s="46">
        <v>6</v>
      </c>
      <c r="P64" s="55"/>
      <c r="Q64" s="35" t="str">
        <f t="shared" si="77"/>
        <v/>
      </c>
      <c r="R64" s="36"/>
      <c r="S64" s="36"/>
      <c r="T64" s="37" t="str">
        <f t="shared" si="74"/>
        <v/>
      </c>
      <c r="U64" s="36"/>
      <c r="V64" s="36"/>
      <c r="W64" s="36"/>
      <c r="X64" s="38" t="str">
        <f t="shared" si="78"/>
        <v/>
      </c>
      <c r="Y64" s="39" t="str">
        <f t="shared" si="31"/>
        <v/>
      </c>
      <c r="Z64" s="40" t="str">
        <f t="shared" si="75"/>
        <v/>
      </c>
      <c r="AA64" s="39" t="str">
        <f t="shared" si="36"/>
        <v/>
      </c>
      <c r="AB64" s="40" t="str">
        <f t="shared" si="79"/>
        <v/>
      </c>
      <c r="AC64" s="41" t="str">
        <f t="shared" si="80"/>
        <v/>
      </c>
      <c r="AD64" s="25"/>
      <c r="AE64" s="29"/>
      <c r="AF64" s="42"/>
      <c r="AG64" s="43"/>
      <c r="AH64" s="43"/>
      <c r="AI64" s="29"/>
      <c r="AJ64" s="42"/>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row>
    <row r="65" spans="1:68" ht="151.5" hidden="1" customHeight="1" x14ac:dyDescent="0.3">
      <c r="A65" s="121"/>
      <c r="B65" s="130"/>
      <c r="C65" s="130"/>
      <c r="D65" s="130"/>
      <c r="E65" s="150"/>
      <c r="F65" s="130"/>
      <c r="G65" s="153"/>
      <c r="H65" s="144" t="str">
        <f>IF(G65&lt;=0,"",IF(G65&lt;=2,"Muy Baja",IF(G65&lt;=24,"Baja",IF(G65&lt;=500,"Media",IF(G65&lt;=5000,"Alta","Muy Alta")))))</f>
        <v/>
      </c>
      <c r="I65" s="136" t="str">
        <f>IF(H65="","",IF(H65="Muy Baja",0.2,IF(H65="Baja",0.4,IF(H65="Media",0.6,IF(H65="Alta",0.8,IF(H65="Muy Alta",1,))))))</f>
        <v/>
      </c>
      <c r="J65" s="140"/>
      <c r="K65" s="136">
        <f>IF(NOT(ISERROR(MATCH(J65,'[6]Tabla Impacto'!$B$221:$B$223,0))),'[6]Tabla Impacto'!$F$223&amp;"Por favor no seleccionar los criterios de impacto(Afectación Económica o presupuestal y Pérdida Reputacional)",J65)</f>
        <v>0</v>
      </c>
      <c r="L65" s="144" t="str">
        <f>IF(OR(K65='[6]Tabla Impacto'!$C$11,K65='[6]Tabla Impacto'!$D$11),"Leve",IF(OR(K65='[6]Tabla Impacto'!$C$12,K65='[6]Tabla Impacto'!$D$12),"Menor",IF(OR(K65='[6]Tabla Impacto'!$C$13,K65='[6]Tabla Impacto'!$D$13),"Moderado",IF(OR(K65='[6]Tabla Impacto'!$C$14,K65='[6]Tabla Impacto'!$D$14),"Mayor",IF(OR(K65='[6]Tabla Impacto'!$C$15,K65='[6]Tabla Impacto'!$D$15),"Catastrófico","")))))</f>
        <v/>
      </c>
      <c r="M65" s="136" t="str">
        <f>IF(L65="","",IF(L65="Leve",0.2,IF(L65="Menor",0.4,IF(L65="Moderado",0.6,IF(L65="Mayor",0.8,IF(L65="Catastrófico",1,))))))</f>
        <v/>
      </c>
      <c r="N65" s="147" t="str">
        <f>IF(OR(AND(H65="Muy Baja",L65="Leve"),AND(H65="Muy Baja",L65="Menor"),AND(H65="Baja",L65="Leve")),"Bajo",IF(OR(AND(H65="Muy baja",L65="Moderado"),AND(H65="Baja",L65="Menor"),AND(H65="Baja",L65="Moderado"),AND(H65="Media",L65="Leve"),AND(H65="Media",L65="Menor"),AND(H65="Media",L65="Moderado"),AND(H65="Alta",L65="Leve"),AND(H65="Alta",L65="Menor")),"Moderado",IF(OR(AND(H65="Muy Baja",L65="Mayor"),AND(H65="Baja",L65="Mayor"),AND(H65="Media",L65="Mayor"),AND(H65="Alta",L65="Moderado"),AND(H65="Alta",L65="Mayor"),AND(H65="Muy Alta",L65="Leve"),AND(H65="Muy Alta",L65="Menor"),AND(H65="Muy Alta",L65="Moderado"),AND(H65="Muy Alta",L65="Mayor")),"Alto",IF(OR(AND(H65="Muy Baja",L65="Catastrófico"),AND(H65="Baja",L65="Catastrófico"),AND(H65="Media",L65="Catastrófico"),AND(H65="Alta",L65="Catastrófico"),AND(H65="Muy Alta",L65="Catastrófico")),"Extremo",""))))</f>
        <v/>
      </c>
      <c r="O65" s="46">
        <v>1</v>
      </c>
      <c r="P65" s="55"/>
      <c r="Q65" s="35" t="str">
        <f>IF(OR(R65="Preventivo",R65="Detectivo"),"Probabilidad",IF(R65="Correctivo","Impacto",""))</f>
        <v/>
      </c>
      <c r="R65" s="36"/>
      <c r="S65" s="36"/>
      <c r="T65" s="37" t="str">
        <f>IF(AND(R65="Preventivo",S65="Automático"),"50%",IF(AND(R65="Preventivo",S65="Manual"),"40%",IF(AND(R65="Detectivo",S65="Automático"),"40%",IF(AND(R65="Detectivo",S65="Manual"),"30%",IF(AND(R65="Correctivo",S65="Automático"),"35%",IF(AND(R65="Correctivo",S65="Manual"),"25%",""))))))</f>
        <v/>
      </c>
      <c r="U65" s="36"/>
      <c r="V65" s="36"/>
      <c r="W65" s="36"/>
      <c r="X65" s="38" t="str">
        <f>IFERROR(IF(Q65="Probabilidad",(I65-(+I65*T65)),IF(Q65="Impacto",I65,"")),"")</f>
        <v/>
      </c>
      <c r="Y65" s="39" t="str">
        <f>IFERROR(IF(X65="","",IF(X65&lt;=0.2,"Muy Baja",IF(X65&lt;=0.4,"Baja",IF(X65&lt;=0.6,"Media",IF(X65&lt;=0.8,"Alta","Muy Alta"))))),"")</f>
        <v/>
      </c>
      <c r="Z65" s="40" t="str">
        <f>+X65</f>
        <v/>
      </c>
      <c r="AA65" s="39" t="str">
        <f>IFERROR(IF(AB65="","",IF(AB65&lt;=0.2,"Leve",IF(AB65&lt;=0.4,"Menor",IF(AB65&lt;=0.6,"Moderado",IF(AB65&lt;=0.8,"Mayor","Catastrófico"))))),"")</f>
        <v/>
      </c>
      <c r="AB65" s="40" t="str">
        <f>IFERROR(IF(Q65="Impacto",(M65-(+M65*T65)),IF(Q65="Probabilidad",M65,"")),"")</f>
        <v/>
      </c>
      <c r="AC65" s="41" t="str">
        <f>IFERROR(IF(OR(AND(Y65="Muy Baja",AA65="Leve"),AND(Y65="Muy Baja",AA65="Menor"),AND(Y65="Baja",AA65="Leve")),"Bajo",IF(OR(AND(Y65="Muy baja",AA65="Moderado"),AND(Y65="Baja",AA65="Menor"),AND(Y65="Baja",AA65="Moderado"),AND(Y65="Media",AA65="Leve"),AND(Y65="Media",AA65="Menor"),AND(Y65="Media",AA65="Moderado"),AND(Y65="Alta",AA65="Leve"),AND(Y65="Alta",AA65="Menor")),"Moderado",IF(OR(AND(Y65="Muy Baja",AA65="Mayor"),AND(Y65="Baja",AA65="Mayor"),AND(Y65="Media",AA65="Mayor"),AND(Y65="Alta",AA65="Moderado"),AND(Y65="Alta",AA65="Mayor"),AND(Y65="Muy Alta",AA65="Leve"),AND(Y65="Muy Alta",AA65="Menor"),AND(Y65="Muy Alta",AA65="Moderado"),AND(Y65="Muy Alta",AA65="Mayor")),"Alto",IF(OR(AND(Y65="Muy Baja",AA65="Catastrófico"),AND(Y65="Baja",AA65="Catastrófico"),AND(Y65="Media",AA65="Catastrófico"),AND(Y65="Alta",AA65="Catastrófico"),AND(Y65="Muy Alta",AA65="Catastrófico")),"Extremo","")))),"")</f>
        <v/>
      </c>
      <c r="AD65" s="25"/>
      <c r="AE65" s="29"/>
      <c r="AF65" s="42"/>
      <c r="AG65" s="43"/>
      <c r="AH65" s="43"/>
      <c r="AI65" s="29"/>
      <c r="AJ65" s="42"/>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row>
    <row r="66" spans="1:68" ht="151.5" hidden="1" customHeight="1" x14ac:dyDescent="0.3">
      <c r="A66" s="121"/>
      <c r="B66" s="131"/>
      <c r="C66" s="131"/>
      <c r="D66" s="131"/>
      <c r="E66" s="151"/>
      <c r="F66" s="131"/>
      <c r="G66" s="154"/>
      <c r="H66" s="145"/>
      <c r="I66" s="137"/>
      <c r="J66" s="141"/>
      <c r="K66" s="137">
        <f>IF(NOT(ISERROR(MATCH(J66,_xlfn.ANCHORARRAY(E77),0))),#REF!&amp;"Por favor no seleccionar los criterios de impacto",J66)</f>
        <v>0</v>
      </c>
      <c r="L66" s="145"/>
      <c r="M66" s="137"/>
      <c r="N66" s="148"/>
      <c r="O66" s="46">
        <v>2</v>
      </c>
      <c r="P66" s="55"/>
      <c r="Q66" s="35" t="str">
        <f>IF(OR(R66="Preventivo",R66="Detectivo"),"Probabilidad",IF(R66="Correctivo","Impacto",""))</f>
        <v/>
      </c>
      <c r="R66" s="36"/>
      <c r="S66" s="36"/>
      <c r="T66" s="37" t="str">
        <f t="shared" ref="T66:T70" si="81">IF(AND(R66="Preventivo",S66="Automático"),"50%",IF(AND(R66="Preventivo",S66="Manual"),"40%",IF(AND(R66="Detectivo",S66="Automático"),"40%",IF(AND(R66="Detectivo",S66="Manual"),"30%",IF(AND(R66="Correctivo",S66="Automático"),"35%",IF(AND(R66="Correctivo",S66="Manual"),"25%",""))))))</f>
        <v/>
      </c>
      <c r="U66" s="36"/>
      <c r="V66" s="36"/>
      <c r="W66" s="36"/>
      <c r="X66" s="38" t="str">
        <f>IFERROR(IF(AND(Q65="Probabilidad",Q66="Probabilidad"),(Z65-(+Z65*T66)),IF(Q66="Probabilidad",(I65-(+I65*T66)),IF(Q66="Impacto",Z65,""))),"")</f>
        <v/>
      </c>
      <c r="Y66" s="39" t="str">
        <f t="shared" si="31"/>
        <v/>
      </c>
      <c r="Z66" s="40" t="str">
        <f t="shared" ref="Z66:Z70" si="82">+X66</f>
        <v/>
      </c>
      <c r="AA66" s="39" t="str">
        <f t="shared" si="36"/>
        <v/>
      </c>
      <c r="AB66" s="40" t="str">
        <f>IFERROR(IF(AND(Q65="Impacto",Q66="Impacto"),(AB65-(+AB65*T66)),IF(Q66="Impacto",(M65-(+M65*T66)),IF(Q66="Probabilidad",AB65,""))),"")</f>
        <v/>
      </c>
      <c r="AC66" s="41" t="str">
        <f t="shared" ref="AC66:AC67" si="83">IFERROR(IF(OR(AND(Y66="Muy Baja",AA66="Leve"),AND(Y66="Muy Baja",AA66="Menor"),AND(Y66="Baja",AA66="Leve")),"Bajo",IF(OR(AND(Y66="Muy baja",AA66="Moderado"),AND(Y66="Baja",AA66="Menor"),AND(Y66="Baja",AA66="Moderado"),AND(Y66="Media",AA66="Leve"),AND(Y66="Media",AA66="Menor"),AND(Y66="Media",AA66="Moderado"),AND(Y66="Alta",AA66="Leve"),AND(Y66="Alta",AA66="Menor")),"Moderado",IF(OR(AND(Y66="Muy Baja",AA66="Mayor"),AND(Y66="Baja",AA66="Mayor"),AND(Y66="Media",AA66="Mayor"),AND(Y66="Alta",AA66="Moderado"),AND(Y66="Alta",AA66="Mayor"),AND(Y66="Muy Alta",AA66="Leve"),AND(Y66="Muy Alta",AA66="Menor"),AND(Y66="Muy Alta",AA66="Moderado"),AND(Y66="Muy Alta",AA66="Mayor")),"Alto",IF(OR(AND(Y66="Muy Baja",AA66="Catastrófico"),AND(Y66="Baja",AA66="Catastrófico"),AND(Y66="Media",AA66="Catastrófico"),AND(Y66="Alta",AA66="Catastrófico"),AND(Y66="Muy Alta",AA66="Catastrófico")),"Extremo","")))),"")</f>
        <v/>
      </c>
      <c r="AD66" s="25"/>
      <c r="AE66" s="29"/>
      <c r="AF66" s="42"/>
      <c r="AG66" s="43"/>
      <c r="AH66" s="43"/>
      <c r="AI66" s="29"/>
      <c r="AJ66" s="42"/>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row>
    <row r="67" spans="1:68" ht="151.5" hidden="1" customHeight="1" x14ac:dyDescent="0.3">
      <c r="A67" s="121"/>
      <c r="B67" s="131"/>
      <c r="C67" s="131"/>
      <c r="D67" s="131"/>
      <c r="E67" s="151"/>
      <c r="F67" s="131"/>
      <c r="G67" s="154"/>
      <c r="H67" s="145"/>
      <c r="I67" s="137"/>
      <c r="J67" s="141"/>
      <c r="K67" s="137">
        <f>IF(NOT(ISERROR(MATCH(J67,_xlfn.ANCHORARRAY(E78),0))),#REF!&amp;"Por favor no seleccionar los criterios de impacto",J67)</f>
        <v>0</v>
      </c>
      <c r="L67" s="145"/>
      <c r="M67" s="137"/>
      <c r="N67" s="148"/>
      <c r="O67" s="46">
        <v>3</v>
      </c>
      <c r="P67" s="58"/>
      <c r="Q67" s="35" t="str">
        <f>IF(OR(R67="Preventivo",R67="Detectivo"),"Probabilidad",IF(R67="Correctivo","Impacto",""))</f>
        <v/>
      </c>
      <c r="R67" s="36"/>
      <c r="S67" s="36"/>
      <c r="T67" s="37" t="str">
        <f t="shared" si="81"/>
        <v/>
      </c>
      <c r="U67" s="36"/>
      <c r="V67" s="36"/>
      <c r="W67" s="36"/>
      <c r="X67" s="38" t="str">
        <f>IFERROR(IF(AND(Q66="Probabilidad",Q67="Probabilidad"),(Z66-(+Z66*T67)),IF(AND(Q66="Impacto",Q67="Probabilidad"),(Z65-(+Z65*T67)),IF(Q67="Impacto",Z66,""))),"")</f>
        <v/>
      </c>
      <c r="Y67" s="39" t="str">
        <f t="shared" si="31"/>
        <v/>
      </c>
      <c r="Z67" s="40" t="str">
        <f t="shared" si="82"/>
        <v/>
      </c>
      <c r="AA67" s="39" t="str">
        <f t="shared" si="36"/>
        <v/>
      </c>
      <c r="AB67" s="40" t="str">
        <f>IFERROR(IF(AND(Q66="Impacto",Q67="Impacto"),(AB66-(+AB66*T67)),IF(AND(Q66="Probabilidad",Q67="Impacto"),(AB65-(+AB65*T67)),IF(Q67="Probabilidad",AB66,""))),"")</f>
        <v/>
      </c>
      <c r="AC67" s="41" t="str">
        <f t="shared" si="83"/>
        <v/>
      </c>
      <c r="AD67" s="25"/>
      <c r="AE67" s="29"/>
      <c r="AF67" s="42"/>
      <c r="AG67" s="43"/>
      <c r="AH67" s="43"/>
      <c r="AI67" s="29"/>
      <c r="AJ67" s="42"/>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row>
    <row r="68" spans="1:68" ht="151.5" hidden="1" customHeight="1" x14ac:dyDescent="0.3">
      <c r="A68" s="121"/>
      <c r="B68" s="131"/>
      <c r="C68" s="131"/>
      <c r="D68" s="131"/>
      <c r="E68" s="151"/>
      <c r="F68" s="131"/>
      <c r="G68" s="154"/>
      <c r="H68" s="145"/>
      <c r="I68" s="137"/>
      <c r="J68" s="141"/>
      <c r="K68" s="137">
        <f>IF(NOT(ISERROR(MATCH(J68,_xlfn.ANCHORARRAY(#REF!),0))),#REF!&amp;"Por favor no seleccionar los criterios de impacto",J68)</f>
        <v>0</v>
      </c>
      <c r="L68" s="145"/>
      <c r="M68" s="137"/>
      <c r="N68" s="148"/>
      <c r="O68" s="46">
        <v>4</v>
      </c>
      <c r="P68" s="55"/>
      <c r="Q68" s="35" t="str">
        <f t="shared" ref="Q68:Q70" si="84">IF(OR(R68="Preventivo",R68="Detectivo"),"Probabilidad",IF(R68="Correctivo","Impacto",""))</f>
        <v/>
      </c>
      <c r="R68" s="36"/>
      <c r="S68" s="36"/>
      <c r="T68" s="37" t="str">
        <f t="shared" si="81"/>
        <v/>
      </c>
      <c r="U68" s="36"/>
      <c r="V68" s="36"/>
      <c r="W68" s="36"/>
      <c r="X68" s="38" t="str">
        <f t="shared" ref="X68:X70" si="85">IFERROR(IF(AND(Q67="Probabilidad",Q68="Probabilidad"),(Z67-(+Z67*T68)),IF(AND(Q67="Impacto",Q68="Probabilidad"),(Z66-(+Z66*T68)),IF(Q68="Impacto",Z67,""))),"")</f>
        <v/>
      </c>
      <c r="Y68" s="39" t="str">
        <f t="shared" si="31"/>
        <v/>
      </c>
      <c r="Z68" s="40" t="str">
        <f t="shared" si="82"/>
        <v/>
      </c>
      <c r="AA68" s="39" t="str">
        <f t="shared" si="36"/>
        <v/>
      </c>
      <c r="AB68" s="40" t="str">
        <f t="shared" ref="AB68:AB70" si="86">IFERROR(IF(AND(Q67="Impacto",Q68="Impacto"),(AB67-(+AB67*T68)),IF(AND(Q67="Probabilidad",Q68="Impacto"),(AB66-(+AB66*T68)),IF(Q68="Probabilidad",AB67,""))),"")</f>
        <v/>
      </c>
      <c r="AC68" s="41" t="str">
        <f>IFERROR(IF(OR(AND(Y68="Muy Baja",AA68="Leve"),AND(Y68="Muy Baja",AA68="Menor"),AND(Y68="Baja",AA68="Leve")),"Bajo",IF(OR(AND(Y68="Muy baja",AA68="Moderado"),AND(Y68="Baja",AA68="Menor"),AND(Y68="Baja",AA68="Moderado"),AND(Y68="Media",AA68="Leve"),AND(Y68="Media",AA68="Menor"),AND(Y68="Media",AA68="Moderado"),AND(Y68="Alta",AA68="Leve"),AND(Y68="Alta",AA68="Menor")),"Moderado",IF(OR(AND(Y68="Muy Baja",AA68="Mayor"),AND(Y68="Baja",AA68="Mayor"),AND(Y68="Media",AA68="Mayor"),AND(Y68="Alta",AA68="Moderado"),AND(Y68="Alta",AA68="Mayor"),AND(Y68="Muy Alta",AA68="Leve"),AND(Y68="Muy Alta",AA68="Menor"),AND(Y68="Muy Alta",AA68="Moderado"),AND(Y68="Muy Alta",AA68="Mayor")),"Alto",IF(OR(AND(Y68="Muy Baja",AA68="Catastrófico"),AND(Y68="Baja",AA68="Catastrófico"),AND(Y68="Media",AA68="Catastrófico"),AND(Y68="Alta",AA68="Catastrófico"),AND(Y68="Muy Alta",AA68="Catastrófico")),"Extremo","")))),"")</f>
        <v/>
      </c>
      <c r="AD68" s="25"/>
      <c r="AE68" s="29"/>
      <c r="AF68" s="42"/>
      <c r="AG68" s="43"/>
      <c r="AH68" s="43"/>
      <c r="AI68" s="29"/>
      <c r="AJ68" s="42"/>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row>
    <row r="69" spans="1:68" ht="151.5" hidden="1" customHeight="1" x14ac:dyDescent="0.3">
      <c r="A69" s="121"/>
      <c r="B69" s="131"/>
      <c r="C69" s="131"/>
      <c r="D69" s="131"/>
      <c r="E69" s="151"/>
      <c r="F69" s="131"/>
      <c r="G69" s="154"/>
      <c r="H69" s="145"/>
      <c r="I69" s="137"/>
      <c r="J69" s="141"/>
      <c r="K69" s="137">
        <f>IF(NOT(ISERROR(MATCH(J69,_xlfn.ANCHORARRAY(#REF!),0))),#REF!&amp;"Por favor no seleccionar los criterios de impacto",J69)</f>
        <v>0</v>
      </c>
      <c r="L69" s="145"/>
      <c r="M69" s="137"/>
      <c r="N69" s="148"/>
      <c r="O69" s="46">
        <v>5</v>
      </c>
      <c r="P69" s="55"/>
      <c r="Q69" s="35" t="str">
        <f t="shared" si="84"/>
        <v/>
      </c>
      <c r="R69" s="36"/>
      <c r="S69" s="36"/>
      <c r="T69" s="37" t="str">
        <f t="shared" si="81"/>
        <v/>
      </c>
      <c r="U69" s="36"/>
      <c r="V69" s="36"/>
      <c r="W69" s="36"/>
      <c r="X69" s="38" t="str">
        <f t="shared" si="85"/>
        <v/>
      </c>
      <c r="Y69" s="39" t="str">
        <f t="shared" si="31"/>
        <v/>
      </c>
      <c r="Z69" s="40" t="str">
        <f t="shared" si="82"/>
        <v/>
      </c>
      <c r="AA69" s="39" t="str">
        <f t="shared" si="36"/>
        <v/>
      </c>
      <c r="AB69" s="40" t="str">
        <f t="shared" si="86"/>
        <v/>
      </c>
      <c r="AC69" s="41" t="str">
        <f t="shared" ref="AC69:AC70" si="87">IFERROR(IF(OR(AND(Y69="Muy Baja",AA69="Leve"),AND(Y69="Muy Baja",AA69="Menor"),AND(Y69="Baja",AA69="Leve")),"Bajo",IF(OR(AND(Y69="Muy baja",AA69="Moderado"),AND(Y69="Baja",AA69="Menor"),AND(Y69="Baja",AA69="Moderado"),AND(Y69="Media",AA69="Leve"),AND(Y69="Media",AA69="Menor"),AND(Y69="Media",AA69="Moderado"),AND(Y69="Alta",AA69="Leve"),AND(Y69="Alta",AA69="Menor")),"Moderado",IF(OR(AND(Y69="Muy Baja",AA69="Mayor"),AND(Y69="Baja",AA69="Mayor"),AND(Y69="Media",AA69="Mayor"),AND(Y69="Alta",AA69="Moderado"),AND(Y69="Alta",AA69="Mayor"),AND(Y69="Muy Alta",AA69="Leve"),AND(Y69="Muy Alta",AA69="Menor"),AND(Y69="Muy Alta",AA69="Moderado"),AND(Y69="Muy Alta",AA69="Mayor")),"Alto",IF(OR(AND(Y69="Muy Baja",AA69="Catastrófico"),AND(Y69="Baja",AA69="Catastrófico"),AND(Y69="Media",AA69="Catastrófico"),AND(Y69="Alta",AA69="Catastrófico"),AND(Y69="Muy Alta",AA69="Catastrófico")),"Extremo","")))),"")</f>
        <v/>
      </c>
      <c r="AD69" s="25"/>
      <c r="AE69" s="29"/>
      <c r="AF69" s="42"/>
      <c r="AG69" s="43"/>
      <c r="AH69" s="43"/>
      <c r="AI69" s="29"/>
      <c r="AJ69" s="42"/>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row>
    <row r="70" spans="1:68" ht="151.5" hidden="1" customHeight="1" x14ac:dyDescent="0.3">
      <c r="A70" s="121"/>
      <c r="B70" s="132"/>
      <c r="C70" s="132"/>
      <c r="D70" s="132"/>
      <c r="E70" s="152"/>
      <c r="F70" s="132"/>
      <c r="G70" s="155"/>
      <c r="H70" s="146"/>
      <c r="I70" s="143"/>
      <c r="J70" s="142"/>
      <c r="K70" s="143">
        <f>IF(NOT(ISERROR(MATCH(J70,_xlfn.ANCHORARRAY(#REF!),0))),I79&amp;"Por favor no seleccionar los criterios de impacto",J70)</f>
        <v>0</v>
      </c>
      <c r="L70" s="146"/>
      <c r="M70" s="143"/>
      <c r="N70" s="149"/>
      <c r="O70" s="46">
        <v>6</v>
      </c>
      <c r="P70" s="55"/>
      <c r="Q70" s="35" t="str">
        <f t="shared" si="84"/>
        <v/>
      </c>
      <c r="R70" s="36"/>
      <c r="S70" s="36"/>
      <c r="T70" s="37" t="str">
        <f t="shared" si="81"/>
        <v/>
      </c>
      <c r="U70" s="36"/>
      <c r="V70" s="36"/>
      <c r="W70" s="36"/>
      <c r="X70" s="38" t="str">
        <f t="shared" si="85"/>
        <v/>
      </c>
      <c r="Y70" s="39" t="str">
        <f t="shared" si="31"/>
        <v/>
      </c>
      <c r="Z70" s="40" t="str">
        <f t="shared" si="82"/>
        <v/>
      </c>
      <c r="AA70" s="39" t="str">
        <f t="shared" si="36"/>
        <v/>
      </c>
      <c r="AB70" s="40" t="str">
        <f t="shared" si="86"/>
        <v/>
      </c>
      <c r="AC70" s="41" t="str">
        <f t="shared" si="87"/>
        <v/>
      </c>
      <c r="AD70" s="25"/>
      <c r="AE70" s="29"/>
      <c r="AF70" s="42"/>
      <c r="AG70" s="43"/>
      <c r="AH70" s="43"/>
      <c r="AI70" s="29"/>
      <c r="AJ70" s="42"/>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row>
    <row r="71" spans="1:68" ht="151.5" hidden="1" customHeight="1" x14ac:dyDescent="0.3">
      <c r="A71" s="121"/>
      <c r="B71" s="130"/>
      <c r="C71" s="130"/>
      <c r="D71" s="130"/>
      <c r="E71" s="150"/>
      <c r="F71" s="130"/>
      <c r="G71" s="153"/>
      <c r="H71" s="144" t="str">
        <f>IF(G71&lt;=0,"",IF(G71&lt;=2,"Muy Baja",IF(G71&lt;=24,"Baja",IF(G71&lt;=500,"Media",IF(G71&lt;=5000,"Alta","Muy Alta")))))</f>
        <v/>
      </c>
      <c r="I71" s="136" t="str">
        <f>IF(H71="","",IF(H71="Muy Baja",0.2,IF(H71="Baja",0.4,IF(H71="Media",0.6,IF(H71="Alta",0.8,IF(H71="Muy Alta",1,))))))</f>
        <v/>
      </c>
      <c r="J71" s="140"/>
      <c r="K71" s="136">
        <f>IF(NOT(ISERROR(MATCH(J71,'[6]Tabla Impacto'!$B$221:$B$223,0))),'[6]Tabla Impacto'!$F$223&amp;"Por favor no seleccionar los criterios de impacto(Afectación Económica o presupuestal y Pérdida Reputacional)",J71)</f>
        <v>0</v>
      </c>
      <c r="L71" s="144" t="str">
        <f>IF(OR(K71='[6]Tabla Impacto'!$C$11,K71='[6]Tabla Impacto'!$D$11),"Leve",IF(OR(K71='[6]Tabla Impacto'!$C$12,K71='[6]Tabla Impacto'!$D$12),"Menor",IF(OR(K71='[6]Tabla Impacto'!$C$13,K71='[6]Tabla Impacto'!$D$13),"Moderado",IF(OR(K71='[6]Tabla Impacto'!$C$14,K71='[6]Tabla Impacto'!$D$14),"Mayor",IF(OR(K71='[6]Tabla Impacto'!$C$15,K71='[6]Tabla Impacto'!$D$15),"Catastrófico","")))))</f>
        <v/>
      </c>
      <c r="M71" s="136" t="str">
        <f>IF(L71="","",IF(L71="Leve",0.2,IF(L71="Menor",0.4,IF(L71="Moderado",0.6,IF(L71="Mayor",0.8,IF(L71="Catastrófico",1,))))))</f>
        <v/>
      </c>
      <c r="N71" s="147" t="str">
        <f>IF(OR(AND(H71="Muy Baja",L71="Leve"),AND(H71="Muy Baja",L71="Menor"),AND(H71="Baja",L71="Leve")),"Bajo",IF(OR(AND(H71="Muy baja",L71="Moderado"),AND(H71="Baja",L71="Menor"),AND(H71="Baja",L71="Moderado"),AND(H71="Media",L71="Leve"),AND(H71="Media",L71="Menor"),AND(H71="Media",L71="Moderado"),AND(H71="Alta",L71="Leve"),AND(H71="Alta",L71="Menor")),"Moderado",IF(OR(AND(H71="Muy Baja",L71="Mayor"),AND(H71="Baja",L71="Mayor"),AND(H71="Media",L71="Mayor"),AND(H71="Alta",L71="Moderado"),AND(H71="Alta",L71="Mayor"),AND(H71="Muy Alta",L71="Leve"),AND(H71="Muy Alta",L71="Menor"),AND(H71="Muy Alta",L71="Moderado"),AND(H71="Muy Alta",L71="Mayor")),"Alto",IF(OR(AND(H71="Muy Baja",L71="Catastrófico"),AND(H71="Baja",L71="Catastrófico"),AND(H71="Media",L71="Catastrófico"),AND(H71="Alta",L71="Catastrófico"),AND(H71="Muy Alta",L71="Catastrófico")),"Extremo",""))))</f>
        <v/>
      </c>
      <c r="O71" s="46">
        <v>1</v>
      </c>
      <c r="P71" s="55"/>
      <c r="Q71" s="35" t="str">
        <f>IF(OR(R71="Preventivo",R71="Detectivo"),"Probabilidad",IF(R71="Correctivo","Impacto",""))</f>
        <v/>
      </c>
      <c r="R71" s="36"/>
      <c r="S71" s="36"/>
      <c r="T71" s="37" t="str">
        <f>IF(AND(R71="Preventivo",S71="Automático"),"50%",IF(AND(R71="Preventivo",S71="Manual"),"40%",IF(AND(R71="Detectivo",S71="Automático"),"40%",IF(AND(R71="Detectivo",S71="Manual"),"30%",IF(AND(R71="Correctivo",S71="Automático"),"35%",IF(AND(R71="Correctivo",S71="Manual"),"25%",""))))))</f>
        <v/>
      </c>
      <c r="U71" s="36"/>
      <c r="V71" s="36"/>
      <c r="W71" s="36"/>
      <c r="X71" s="38" t="str">
        <f>IFERROR(IF(Q71="Probabilidad",(I71-(+I71*T71)),IF(Q71="Impacto",I71,"")),"")</f>
        <v/>
      </c>
      <c r="Y71" s="39" t="str">
        <f>IFERROR(IF(X71="","",IF(X71&lt;=0.2,"Muy Baja",IF(X71&lt;=0.4,"Baja",IF(X71&lt;=0.6,"Media",IF(X71&lt;=0.8,"Alta","Muy Alta"))))),"")</f>
        <v/>
      </c>
      <c r="Z71" s="40" t="str">
        <f>+X71</f>
        <v/>
      </c>
      <c r="AA71" s="39" t="str">
        <f>IFERROR(IF(AB71="","",IF(AB71&lt;=0.2,"Leve",IF(AB71&lt;=0.4,"Menor",IF(AB71&lt;=0.6,"Moderado",IF(AB71&lt;=0.8,"Mayor","Catastrófico"))))),"")</f>
        <v/>
      </c>
      <c r="AB71" s="40" t="str">
        <f>IFERROR(IF(Q71="Impacto",(M71-(+M71*T71)),IF(Q71="Probabilidad",M71,"")),"")</f>
        <v/>
      </c>
      <c r="AC71" s="41" t="str">
        <f>IFERROR(IF(OR(AND(Y71="Muy Baja",AA71="Leve"),AND(Y71="Muy Baja",AA71="Menor"),AND(Y71="Baja",AA71="Leve")),"Bajo",IF(OR(AND(Y71="Muy baja",AA71="Moderado"),AND(Y71="Baja",AA71="Menor"),AND(Y71="Baja",AA71="Moderado"),AND(Y71="Media",AA71="Leve"),AND(Y71="Media",AA71="Menor"),AND(Y71="Media",AA71="Moderado"),AND(Y71="Alta",AA71="Leve"),AND(Y71="Alta",AA71="Menor")),"Moderado",IF(OR(AND(Y71="Muy Baja",AA71="Mayor"),AND(Y71="Baja",AA71="Mayor"),AND(Y71="Media",AA71="Mayor"),AND(Y71="Alta",AA71="Moderado"),AND(Y71="Alta",AA71="Mayor"),AND(Y71="Muy Alta",AA71="Leve"),AND(Y71="Muy Alta",AA71="Menor"),AND(Y71="Muy Alta",AA71="Moderado"),AND(Y71="Muy Alta",AA71="Mayor")),"Alto",IF(OR(AND(Y71="Muy Baja",AA71="Catastrófico"),AND(Y71="Baja",AA71="Catastrófico"),AND(Y71="Media",AA71="Catastrófico"),AND(Y71="Alta",AA71="Catastrófico"),AND(Y71="Muy Alta",AA71="Catastrófico")),"Extremo","")))),"")</f>
        <v/>
      </c>
      <c r="AD71" s="25"/>
      <c r="AE71" s="29"/>
      <c r="AF71" s="42"/>
      <c r="AG71" s="43"/>
      <c r="AH71" s="43"/>
      <c r="AI71" s="29"/>
      <c r="AJ71" s="42"/>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row>
    <row r="72" spans="1:68" ht="151.5" hidden="1" customHeight="1" x14ac:dyDescent="0.3">
      <c r="A72" s="121"/>
      <c r="B72" s="131"/>
      <c r="C72" s="131"/>
      <c r="D72" s="131"/>
      <c r="E72" s="151"/>
      <c r="F72" s="131"/>
      <c r="G72" s="154"/>
      <c r="H72" s="145"/>
      <c r="I72" s="137"/>
      <c r="J72" s="141"/>
      <c r="K72" s="137">
        <f>IF(NOT(ISERROR(MATCH(J72,_xlfn.ANCHORARRAY(E79),0))),I81&amp;"Por favor no seleccionar los criterios de impacto",J72)</f>
        <v>0</v>
      </c>
      <c r="L72" s="145"/>
      <c r="M72" s="137"/>
      <c r="N72" s="148"/>
      <c r="O72" s="46">
        <v>2</v>
      </c>
      <c r="P72" s="55"/>
      <c r="Q72" s="35" t="str">
        <f>IF(OR(R72="Preventivo",R72="Detectivo"),"Probabilidad",IF(R72="Correctivo","Impacto",""))</f>
        <v/>
      </c>
      <c r="R72" s="36"/>
      <c r="S72" s="36"/>
      <c r="T72" s="37" t="str">
        <f t="shared" ref="T72:T76" si="88">IF(AND(R72="Preventivo",S72="Automático"),"50%",IF(AND(R72="Preventivo",S72="Manual"),"40%",IF(AND(R72="Detectivo",S72="Automático"),"40%",IF(AND(R72="Detectivo",S72="Manual"),"30%",IF(AND(R72="Correctivo",S72="Automático"),"35%",IF(AND(R72="Correctivo",S72="Manual"),"25%",""))))))</f>
        <v/>
      </c>
      <c r="U72" s="36"/>
      <c r="V72" s="36"/>
      <c r="W72" s="36"/>
      <c r="X72" s="38" t="str">
        <f>IFERROR(IF(AND(Q71="Probabilidad",Q72="Probabilidad"),(Z71-(+Z71*T72)),IF(Q72="Probabilidad",(I71-(+I71*T72)),IF(Q72="Impacto",Z71,""))),"")</f>
        <v/>
      </c>
      <c r="Y72" s="39" t="str">
        <f t="shared" si="31"/>
        <v/>
      </c>
      <c r="Z72" s="40" t="str">
        <f t="shared" ref="Z72:Z76" si="89">+X72</f>
        <v/>
      </c>
      <c r="AA72" s="39" t="str">
        <f t="shared" si="36"/>
        <v/>
      </c>
      <c r="AB72" s="40" t="str">
        <f>IFERROR(IF(AND(Q71="Impacto",Q72="Impacto"),(AB71-(+AB71*T72)),IF(Q72="Impacto",(M71-(+M71*T72)),IF(Q72="Probabilidad",AB71,""))),"")</f>
        <v/>
      </c>
      <c r="AC72" s="41" t="str">
        <f t="shared" ref="AC72:AC73" si="90">IFERROR(IF(OR(AND(Y72="Muy Baja",AA72="Leve"),AND(Y72="Muy Baja",AA72="Menor"),AND(Y72="Baja",AA72="Leve")),"Bajo",IF(OR(AND(Y72="Muy baja",AA72="Moderado"),AND(Y72="Baja",AA72="Menor"),AND(Y72="Baja",AA72="Moderado"),AND(Y72="Media",AA72="Leve"),AND(Y72="Media",AA72="Menor"),AND(Y72="Media",AA72="Moderado"),AND(Y72="Alta",AA72="Leve"),AND(Y72="Alta",AA72="Menor")),"Moderado",IF(OR(AND(Y72="Muy Baja",AA72="Mayor"),AND(Y72="Baja",AA72="Mayor"),AND(Y72="Media",AA72="Mayor"),AND(Y72="Alta",AA72="Moderado"),AND(Y72="Alta",AA72="Mayor"),AND(Y72="Muy Alta",AA72="Leve"),AND(Y72="Muy Alta",AA72="Menor"),AND(Y72="Muy Alta",AA72="Moderado"),AND(Y72="Muy Alta",AA72="Mayor")),"Alto",IF(OR(AND(Y72="Muy Baja",AA72="Catastrófico"),AND(Y72="Baja",AA72="Catastrófico"),AND(Y72="Media",AA72="Catastrófico"),AND(Y72="Alta",AA72="Catastrófico"),AND(Y72="Muy Alta",AA72="Catastrófico")),"Extremo","")))),"")</f>
        <v/>
      </c>
      <c r="AD72" s="25"/>
      <c r="AE72" s="29"/>
      <c r="AF72" s="42"/>
      <c r="AG72" s="43"/>
      <c r="AH72" s="43"/>
      <c r="AI72" s="29"/>
      <c r="AJ72" s="42"/>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row>
    <row r="73" spans="1:68" ht="151.5" hidden="1" customHeight="1" x14ac:dyDescent="0.3">
      <c r="A73" s="121"/>
      <c r="B73" s="131"/>
      <c r="C73" s="131"/>
      <c r="D73" s="131"/>
      <c r="E73" s="151"/>
      <c r="F73" s="131"/>
      <c r="G73" s="154"/>
      <c r="H73" s="145"/>
      <c r="I73" s="137"/>
      <c r="J73" s="141"/>
      <c r="K73" s="137">
        <f>IF(NOT(ISERROR(MATCH(J73,_xlfn.ANCHORARRAY(E80),0))),I82&amp;"Por favor no seleccionar los criterios de impacto",J73)</f>
        <v>0</v>
      </c>
      <c r="L73" s="145"/>
      <c r="M73" s="137"/>
      <c r="N73" s="148"/>
      <c r="O73" s="46">
        <v>3</v>
      </c>
      <c r="P73" s="58"/>
      <c r="Q73" s="35" t="str">
        <f>IF(OR(R73="Preventivo",R73="Detectivo"),"Probabilidad",IF(R73="Correctivo","Impacto",""))</f>
        <v/>
      </c>
      <c r="R73" s="36"/>
      <c r="S73" s="36"/>
      <c r="T73" s="37" t="str">
        <f t="shared" si="88"/>
        <v/>
      </c>
      <c r="U73" s="36"/>
      <c r="V73" s="36"/>
      <c r="W73" s="36"/>
      <c r="X73" s="38" t="str">
        <f>IFERROR(IF(AND(Q72="Probabilidad",Q73="Probabilidad"),(Z72-(+Z72*T73)),IF(AND(Q72="Impacto",Q73="Probabilidad"),(Z71-(+Z71*T73)),IF(Q73="Impacto",Z72,""))),"")</f>
        <v/>
      </c>
      <c r="Y73" s="39" t="str">
        <f t="shared" si="31"/>
        <v/>
      </c>
      <c r="Z73" s="40" t="str">
        <f t="shared" si="89"/>
        <v/>
      </c>
      <c r="AA73" s="39" t="str">
        <f t="shared" si="36"/>
        <v/>
      </c>
      <c r="AB73" s="40" t="str">
        <f>IFERROR(IF(AND(Q72="Impacto",Q73="Impacto"),(AB72-(+AB72*T73)),IF(AND(Q72="Probabilidad",Q73="Impacto"),(AB71-(+AB71*T73)),IF(Q73="Probabilidad",AB72,""))),"")</f>
        <v/>
      </c>
      <c r="AC73" s="41" t="str">
        <f t="shared" si="90"/>
        <v/>
      </c>
      <c r="AD73" s="25"/>
      <c r="AE73" s="29"/>
      <c r="AF73" s="42"/>
      <c r="AG73" s="43"/>
      <c r="AH73" s="43"/>
      <c r="AI73" s="29"/>
      <c r="AJ73" s="42"/>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row>
    <row r="74" spans="1:68" ht="151.5" hidden="1" customHeight="1" x14ac:dyDescent="0.3">
      <c r="A74" s="121"/>
      <c r="B74" s="131"/>
      <c r="C74" s="131"/>
      <c r="D74" s="131"/>
      <c r="E74" s="151"/>
      <c r="F74" s="131"/>
      <c r="G74" s="154"/>
      <c r="H74" s="145"/>
      <c r="I74" s="137"/>
      <c r="J74" s="141"/>
      <c r="K74" s="137">
        <f>IF(NOT(ISERROR(MATCH(J74,_xlfn.ANCHORARRAY(E81),0))),#REF!&amp;"Por favor no seleccionar los criterios de impacto",J74)</f>
        <v>0</v>
      </c>
      <c r="L74" s="145"/>
      <c r="M74" s="137"/>
      <c r="N74" s="148"/>
      <c r="O74" s="46">
        <v>4</v>
      </c>
      <c r="P74" s="55"/>
      <c r="Q74" s="35" t="str">
        <f t="shared" ref="Q74:Q76" si="91">IF(OR(R74="Preventivo",R74="Detectivo"),"Probabilidad",IF(R74="Correctivo","Impacto",""))</f>
        <v/>
      </c>
      <c r="R74" s="36"/>
      <c r="S74" s="36"/>
      <c r="T74" s="37" t="str">
        <f t="shared" si="88"/>
        <v/>
      </c>
      <c r="U74" s="36"/>
      <c r="V74" s="36"/>
      <c r="W74" s="36"/>
      <c r="X74" s="38" t="str">
        <f t="shared" ref="X74:X76" si="92">IFERROR(IF(AND(Q73="Probabilidad",Q74="Probabilidad"),(Z73-(+Z73*T74)),IF(AND(Q73="Impacto",Q74="Probabilidad"),(Z72-(+Z72*T74)),IF(Q74="Impacto",Z73,""))),"")</f>
        <v/>
      </c>
      <c r="Y74" s="39" t="str">
        <f t="shared" si="31"/>
        <v/>
      </c>
      <c r="Z74" s="40" t="str">
        <f t="shared" si="89"/>
        <v/>
      </c>
      <c r="AA74" s="39" t="str">
        <f t="shared" si="36"/>
        <v/>
      </c>
      <c r="AB74" s="40" t="str">
        <f t="shared" ref="AB74:AB76" si="93">IFERROR(IF(AND(Q73="Impacto",Q74="Impacto"),(AB73-(+AB73*T74)),IF(AND(Q73="Probabilidad",Q74="Impacto"),(AB72-(+AB72*T74)),IF(Q74="Probabilidad",AB73,""))),"")</f>
        <v/>
      </c>
      <c r="AC74" s="41" t="str">
        <f>IFERROR(IF(OR(AND(Y74="Muy Baja",AA74="Leve"),AND(Y74="Muy Baja",AA74="Menor"),AND(Y74="Baja",AA74="Leve")),"Bajo",IF(OR(AND(Y74="Muy baja",AA74="Moderado"),AND(Y74="Baja",AA74="Menor"),AND(Y74="Baja",AA74="Moderado"),AND(Y74="Media",AA74="Leve"),AND(Y74="Media",AA74="Menor"),AND(Y74="Media",AA74="Moderado"),AND(Y74="Alta",AA74="Leve"),AND(Y74="Alta",AA74="Menor")),"Moderado",IF(OR(AND(Y74="Muy Baja",AA74="Mayor"),AND(Y74="Baja",AA74="Mayor"),AND(Y74="Media",AA74="Mayor"),AND(Y74="Alta",AA74="Moderado"),AND(Y74="Alta",AA74="Mayor"),AND(Y74="Muy Alta",AA74="Leve"),AND(Y74="Muy Alta",AA74="Menor"),AND(Y74="Muy Alta",AA74="Moderado"),AND(Y74="Muy Alta",AA74="Mayor")),"Alto",IF(OR(AND(Y74="Muy Baja",AA74="Catastrófico"),AND(Y74="Baja",AA74="Catastrófico"),AND(Y74="Media",AA74="Catastrófico"),AND(Y74="Alta",AA74="Catastrófico"),AND(Y74="Muy Alta",AA74="Catastrófico")),"Extremo","")))),"")</f>
        <v/>
      </c>
      <c r="AD74" s="25"/>
      <c r="AE74" s="29"/>
      <c r="AF74" s="42"/>
      <c r="AG74" s="43"/>
      <c r="AH74" s="43"/>
      <c r="AI74" s="29"/>
      <c r="AJ74" s="42"/>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row>
    <row r="75" spans="1:68" ht="151.5" hidden="1" customHeight="1" x14ac:dyDescent="0.3">
      <c r="A75" s="121"/>
      <c r="B75" s="131"/>
      <c r="C75" s="131"/>
      <c r="D75" s="131"/>
      <c r="E75" s="151"/>
      <c r="F75" s="131"/>
      <c r="G75" s="154"/>
      <c r="H75" s="145"/>
      <c r="I75" s="137"/>
      <c r="J75" s="141"/>
      <c r="K75" s="137">
        <f>IF(NOT(ISERROR(MATCH(J75,_xlfn.ANCHORARRAY(E82),0))),#REF!&amp;"Por favor no seleccionar los criterios de impacto",J75)</f>
        <v>0</v>
      </c>
      <c r="L75" s="145"/>
      <c r="M75" s="137"/>
      <c r="N75" s="148"/>
      <c r="O75" s="46">
        <v>5</v>
      </c>
      <c r="P75" s="55"/>
      <c r="Q75" s="35" t="str">
        <f t="shared" si="91"/>
        <v/>
      </c>
      <c r="R75" s="36"/>
      <c r="S75" s="36"/>
      <c r="T75" s="37" t="str">
        <f t="shared" si="88"/>
        <v/>
      </c>
      <c r="U75" s="36"/>
      <c r="V75" s="36"/>
      <c r="W75" s="36"/>
      <c r="X75" s="38" t="str">
        <f t="shared" si="92"/>
        <v/>
      </c>
      <c r="Y75" s="39" t="str">
        <f t="shared" si="31"/>
        <v/>
      </c>
      <c r="Z75" s="40" t="str">
        <f t="shared" si="89"/>
        <v/>
      </c>
      <c r="AA75" s="39" t="str">
        <f t="shared" si="36"/>
        <v/>
      </c>
      <c r="AB75" s="40" t="str">
        <f t="shared" si="93"/>
        <v/>
      </c>
      <c r="AC75" s="41" t="str">
        <f t="shared" ref="AC75:AC76" si="94">IFERROR(IF(OR(AND(Y75="Muy Baja",AA75="Leve"),AND(Y75="Muy Baja",AA75="Menor"),AND(Y75="Baja",AA75="Leve")),"Bajo",IF(OR(AND(Y75="Muy baja",AA75="Moderado"),AND(Y75="Baja",AA75="Menor"),AND(Y75="Baja",AA75="Moderado"),AND(Y75="Media",AA75="Leve"),AND(Y75="Media",AA75="Menor"),AND(Y75="Media",AA75="Moderado"),AND(Y75="Alta",AA75="Leve"),AND(Y75="Alta",AA75="Menor")),"Moderado",IF(OR(AND(Y75="Muy Baja",AA75="Mayor"),AND(Y75="Baja",AA75="Mayor"),AND(Y75="Media",AA75="Mayor"),AND(Y75="Alta",AA75="Moderado"),AND(Y75="Alta",AA75="Mayor"),AND(Y75="Muy Alta",AA75="Leve"),AND(Y75="Muy Alta",AA75="Menor"),AND(Y75="Muy Alta",AA75="Moderado"),AND(Y75="Muy Alta",AA75="Mayor")),"Alto",IF(OR(AND(Y75="Muy Baja",AA75="Catastrófico"),AND(Y75="Baja",AA75="Catastrófico"),AND(Y75="Media",AA75="Catastrófico"),AND(Y75="Alta",AA75="Catastrófico"),AND(Y75="Muy Alta",AA75="Catastrófico")),"Extremo","")))),"")</f>
        <v/>
      </c>
      <c r="AD75" s="25"/>
      <c r="AE75" s="29"/>
      <c r="AF75" s="42"/>
      <c r="AG75" s="43"/>
      <c r="AH75" s="43"/>
      <c r="AI75" s="29"/>
      <c r="AJ75" s="42"/>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row>
    <row r="76" spans="1:68" ht="151.5" hidden="1" customHeight="1" x14ac:dyDescent="0.3">
      <c r="A76" s="121"/>
      <c r="B76" s="132"/>
      <c r="C76" s="132"/>
      <c r="D76" s="132"/>
      <c r="E76" s="152"/>
      <c r="F76" s="132"/>
      <c r="G76" s="155"/>
      <c r="H76" s="146"/>
      <c r="I76" s="143"/>
      <c r="J76" s="142"/>
      <c r="K76" s="143">
        <f>IF(NOT(ISERROR(MATCH(J76,_xlfn.ANCHORARRAY(#REF!),0))),I83&amp;"Por favor no seleccionar los criterios de impacto",J76)</f>
        <v>0</v>
      </c>
      <c r="L76" s="146"/>
      <c r="M76" s="143"/>
      <c r="N76" s="149"/>
      <c r="O76" s="46">
        <v>6</v>
      </c>
      <c r="P76" s="55"/>
      <c r="Q76" s="35" t="str">
        <f t="shared" si="91"/>
        <v/>
      </c>
      <c r="R76" s="36"/>
      <c r="S76" s="36"/>
      <c r="T76" s="37" t="str">
        <f t="shared" si="88"/>
        <v/>
      </c>
      <c r="U76" s="36"/>
      <c r="V76" s="36"/>
      <c r="W76" s="36"/>
      <c r="X76" s="38" t="str">
        <f t="shared" si="92"/>
        <v/>
      </c>
      <c r="Y76" s="39" t="str">
        <f t="shared" si="31"/>
        <v/>
      </c>
      <c r="Z76" s="40" t="str">
        <f t="shared" si="89"/>
        <v/>
      </c>
      <c r="AA76" s="39" t="str">
        <f t="shared" si="36"/>
        <v/>
      </c>
      <c r="AB76" s="40" t="str">
        <f t="shared" si="93"/>
        <v/>
      </c>
      <c r="AC76" s="41" t="str">
        <f t="shared" si="94"/>
        <v/>
      </c>
      <c r="AD76" s="25"/>
      <c r="AE76" s="29"/>
      <c r="AF76" s="42"/>
      <c r="AG76" s="43"/>
      <c r="AH76" s="43"/>
      <c r="AI76" s="29"/>
      <c r="AJ76" s="42"/>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row>
    <row r="77" spans="1:68" s="32" customFormat="1" ht="167.25" customHeight="1" x14ac:dyDescent="0.25">
      <c r="A77" s="121"/>
      <c r="B77" s="122" t="s">
        <v>61</v>
      </c>
      <c r="C77" s="122" t="s">
        <v>178</v>
      </c>
      <c r="D77" s="122" t="s">
        <v>179</v>
      </c>
      <c r="E77" s="138" t="s">
        <v>180</v>
      </c>
      <c r="F77" s="122" t="s">
        <v>65</v>
      </c>
      <c r="G77" s="124">
        <v>10</v>
      </c>
      <c r="H77" s="116" t="str">
        <f>IF(G77&lt;=0,"",IF(G77&lt;=2,"Muy Baja",IF(G77&lt;=24,"Baja",IF(G77&lt;=500,"Media",IF(G77&lt;=5000,"Alta","Muy Alta")))))</f>
        <v>Baja</v>
      </c>
      <c r="I77" s="114">
        <f>IF(H77="","",IF(H77="Muy Baja",0.2,IF(H77="Baja",0.4,IF(H77="Media",0.6,IF(H77="Alta",0.8,IF(H77="Muy Alta",1,))))))</f>
        <v>0.4</v>
      </c>
      <c r="J77" s="112" t="s">
        <v>96</v>
      </c>
      <c r="K77" s="114" t="str">
        <f>IF(NOT(ISERROR(MATCH(J77,'[7]Tabla Impacto'!$B$221:$B$223,0))),'[7]Tabla Impacto'!$F$223&amp;"Por favor no seleccionar los criterios de impacto(Afectación Económica o presupuestal y Pérdida Reputacional)",J77)</f>
        <v xml:space="preserve">     El riesgo afecta la imagen de la entidad internamente, de conocimiento general, nivel interno, de junta dircetiva y accionistas y/o de provedores</v>
      </c>
      <c r="L77" s="116" t="str">
        <f>IF(OR(K77='[7]Tabla Impacto'!$C$11,K77='[7]Tabla Impacto'!$D$11),"Leve",IF(OR(K77='[7]Tabla Impacto'!$C$12,K77='[7]Tabla Impacto'!$D$12),"Menor",IF(OR(K77='[7]Tabla Impacto'!$C$13,K77='[7]Tabla Impacto'!$D$13),"Moderado",IF(OR(K77='[7]Tabla Impacto'!$C$14,K77='[7]Tabla Impacto'!$D$14),"Mayor",IF(OR(K77='[7]Tabla Impacto'!$C$15,K77='[7]Tabla Impacto'!$D$15),"Catastrófico","")))))</f>
        <v>Menor</v>
      </c>
      <c r="M77" s="114">
        <f>IF(L77="","",IF(L77="Leve",0.2,IF(L77="Menor",0.4,IF(L77="Moderado",0.6,IF(L77="Mayor",0.8,IF(L77="Catastrófico",1,))))))</f>
        <v>0.4</v>
      </c>
      <c r="N77" s="118" t="str">
        <f>IF(OR(AND(H77="Muy Baja",L77="Leve"),AND(H77="Muy Baja",L77="Menor"),AND(H77="Baja",L77="Leve")),"Bajo",IF(OR(AND(H77="Muy baja",L77="Moderado"),AND(H77="Baja",L77="Menor"),AND(H77="Baja",L77="Moderado"),AND(H77="Media",L77="Leve"),AND(H77="Media",L77="Menor"),AND(H77="Media",L77="Moderado"),AND(H77="Alta",L77="Leve"),AND(H77="Alta",L77="Menor")),"Moderado",IF(OR(AND(H77="Muy Baja",L77="Mayor"),AND(H77="Baja",L77="Mayor"),AND(H77="Media",L77="Mayor"),AND(H77="Alta",L77="Moderado"),AND(H77="Alta",L77="Mayor"),AND(H77="Muy Alta",L77="Leve"),AND(H77="Muy Alta",L77="Menor"),AND(H77="Muy Alta",L77="Moderado"),AND(H77="Muy Alta",L77="Mayor")),"Alto",IF(OR(AND(H77="Muy Baja",L77="Catastrófico"),AND(H77="Baja",L77="Catastrófico"),AND(H77="Media",L77="Catastrófico"),AND(H77="Alta",L77="Catastrófico"),AND(H77="Muy Alta",L77="Catastrófico")),"Extremo",""))))</f>
        <v>Moderado</v>
      </c>
      <c r="O77" s="16">
        <v>1</v>
      </c>
      <c r="P77" s="72" t="s">
        <v>181</v>
      </c>
      <c r="Q77" s="18" t="str">
        <f>IF(OR(R77="Preventivo",R77="Detectivo"),"Probabilidad",IF(R77="Correctivo","Impacto",""))</f>
        <v>Probabilidad</v>
      </c>
      <c r="R77" s="19" t="s">
        <v>81</v>
      </c>
      <c r="S77" s="19" t="s">
        <v>68</v>
      </c>
      <c r="T77" s="20" t="str">
        <f>IF(AND(R77="Preventivo",S77="Automático"),"50%",IF(AND(R77="Preventivo",S77="Manual"),"40%",IF(AND(R77="Detectivo",S77="Automático"),"40%",IF(AND(R77="Detectivo",S77="Manual"),"30%",IF(AND(R77="Correctivo",S77="Automático"),"35%",IF(AND(R77="Correctivo",S77="Manual"),"25%",""))))))</f>
        <v>40%</v>
      </c>
      <c r="U77" s="19" t="s">
        <v>54</v>
      </c>
      <c r="V77" s="19" t="s">
        <v>70</v>
      </c>
      <c r="W77" s="19" t="s">
        <v>71</v>
      </c>
      <c r="X77" s="21">
        <f>IFERROR(IF(Q77="Probabilidad",(I77-(+I77*T77)),IF(Q77="Impacto",I77,"")),"")</f>
        <v>0.24</v>
      </c>
      <c r="Y77" s="22" t="str">
        <f>IFERROR(IF(X77="","",IF(X77&lt;=0.2,"Muy Baja",IF(X77&lt;=0.4,"Baja",IF(X77&lt;=0.6,"Media",IF(X77&lt;=0.8,"Alta","Muy Alta"))))),"")</f>
        <v>Baja</v>
      </c>
      <c r="Z77" s="23">
        <f>+X77</f>
        <v>0.24</v>
      </c>
      <c r="AA77" s="22" t="str">
        <f>IFERROR(IF(AB77="","",IF(AB77&lt;=0.2,"Leve",IF(AB77&lt;=0.4,"Menor",IF(AB77&lt;=0.6,"Moderado",IF(AB77&lt;=0.8,"Mayor","Catastrófico"))))),"")</f>
        <v>Menor</v>
      </c>
      <c r="AB77" s="23">
        <f>IFERROR(IF(Q77="Impacto",(M77-(+M77*T77)),IF(Q77="Probabilidad",M77,"")),"")</f>
        <v>0.4</v>
      </c>
      <c r="AC77" s="24" t="str">
        <f>IFERROR(IF(OR(AND(Y77="Muy Baja",AA77="Leve"),AND(Y77="Muy Baja",AA77="Menor"),AND(Y77="Baja",AA77="Leve")),"Bajo",IF(OR(AND(Y77="Muy baja",AA77="Moderado"),AND(Y77="Baja",AA77="Menor"),AND(Y77="Baja",AA77="Moderado"),AND(Y77="Media",AA77="Leve"),AND(Y77="Media",AA77="Menor"),AND(Y77="Media",AA77="Moderado"),AND(Y77="Alta",AA77="Leve"),AND(Y77="Alta",AA77="Menor")),"Moderado",IF(OR(AND(Y77="Muy Baja",AA77="Mayor"),AND(Y77="Baja",AA77="Mayor"),AND(Y77="Media",AA77="Mayor"),AND(Y77="Alta",AA77="Moderado"),AND(Y77="Alta",AA77="Mayor"),AND(Y77="Muy Alta",AA77="Leve"),AND(Y77="Muy Alta",AA77="Menor"),AND(Y77="Muy Alta",AA77="Moderado"),AND(Y77="Muy Alta",AA77="Mayor")),"Alto",IF(OR(AND(Y77="Muy Baja",AA77="Catastrófico"),AND(Y77="Baja",AA77="Catastrófico"),AND(Y77="Media",AA77="Catastrófico"),AND(Y77="Alta",AA77="Catastrófico"),AND(Y77="Muy Alta",AA77="Catastrófico")),"Extremo","")))),"")</f>
        <v>Moderado</v>
      </c>
      <c r="AD77" s="25" t="s">
        <v>57</v>
      </c>
      <c r="AE77" s="17" t="s">
        <v>182</v>
      </c>
      <c r="AF77" s="26" t="s">
        <v>145</v>
      </c>
      <c r="AG77" s="27">
        <v>44742</v>
      </c>
      <c r="AH77" s="73">
        <f>+I77-(I77*T77)</f>
        <v>0.24</v>
      </c>
      <c r="AI77" s="29"/>
      <c r="AJ77" s="30" t="s">
        <v>60</v>
      </c>
      <c r="AK77" s="31"/>
      <c r="AL77" s="31"/>
      <c r="AM77" s="31"/>
      <c r="AN77" s="31"/>
      <c r="AO77" s="31"/>
      <c r="AP77" s="31"/>
      <c r="AQ77" s="31"/>
      <c r="AR77" s="31"/>
      <c r="AS77" s="31"/>
      <c r="AT77" s="31"/>
      <c r="AU77" s="31"/>
      <c r="AV77" s="31"/>
      <c r="AW77" s="31"/>
      <c r="AX77" s="31"/>
      <c r="AY77" s="31"/>
      <c r="AZ77" s="31"/>
      <c r="BA77" s="31"/>
      <c r="BB77" s="31"/>
      <c r="BC77" s="31"/>
      <c r="BD77" s="31"/>
      <c r="BE77" s="31"/>
      <c r="BF77" s="31"/>
      <c r="BG77" s="31"/>
      <c r="BH77" s="31"/>
      <c r="BI77" s="31"/>
      <c r="BJ77" s="31"/>
      <c r="BK77" s="31"/>
      <c r="BL77" s="31"/>
      <c r="BM77" s="31"/>
      <c r="BN77" s="31"/>
      <c r="BO77" s="31"/>
      <c r="BP77" s="31"/>
    </row>
    <row r="78" spans="1:68" ht="151.5" customHeight="1" x14ac:dyDescent="0.3">
      <c r="A78" s="121"/>
      <c r="B78" s="123"/>
      <c r="C78" s="123"/>
      <c r="D78" s="123"/>
      <c r="E78" s="139"/>
      <c r="F78" s="123"/>
      <c r="G78" s="125"/>
      <c r="H78" s="117"/>
      <c r="I78" s="115"/>
      <c r="J78" s="113"/>
      <c r="K78" s="115">
        <f>IF(NOT(ISERROR(MATCH(J78,_xlfn.ANCHORARRAY(E83),0))),#REF!&amp;"Por favor no seleccionar los criterios de impacto",J78)</f>
        <v>0</v>
      </c>
      <c r="L78" s="117"/>
      <c r="M78" s="115"/>
      <c r="N78" s="119"/>
      <c r="O78" s="16">
        <v>2</v>
      </c>
      <c r="P78" s="17" t="s">
        <v>183</v>
      </c>
      <c r="Q78" s="18" t="str">
        <f>IF(OR(R78="Preventivo",R78="Detectivo"),"Probabilidad",IF(R78="Correctivo","Impacto",""))</f>
        <v>Probabilidad</v>
      </c>
      <c r="R78" s="19" t="s">
        <v>81</v>
      </c>
      <c r="S78" s="19" t="s">
        <v>68</v>
      </c>
      <c r="T78" s="20" t="str">
        <f t="shared" ref="T78" si="95">IF(AND(R78="Preventivo",S78="Automático"),"50%",IF(AND(R78="Preventivo",S78="Manual"),"40%",IF(AND(R78="Detectivo",S78="Automático"),"40%",IF(AND(R78="Detectivo",S78="Manual"),"30%",IF(AND(R78="Correctivo",S78="Automático"),"35%",IF(AND(R78="Correctivo",S78="Manual"),"25%",""))))))</f>
        <v>40%</v>
      </c>
      <c r="U78" s="19" t="s">
        <v>54</v>
      </c>
      <c r="V78" s="19" t="s">
        <v>55</v>
      </c>
      <c r="W78" s="19" t="s">
        <v>56</v>
      </c>
      <c r="X78" s="21">
        <f>IFERROR(IF(AND(Q77="Probabilidad",Q78="Probabilidad"),(Z77-(+Z77*T78)),IF(Q78="Probabilidad",(I77-(+I77*T78)),IF(Q78="Impacto",Z77,""))),"")</f>
        <v>0.14399999999999999</v>
      </c>
      <c r="Y78" s="22" t="str">
        <f t="shared" ref="Y78:Y82" si="96">IFERROR(IF(X78="","",IF(X78&lt;=0.2,"Muy Baja",IF(X78&lt;=0.4,"Baja",IF(X78&lt;=0.6,"Media",IF(X78&lt;=0.8,"Alta","Muy Alta"))))),"")</f>
        <v>Muy Baja</v>
      </c>
      <c r="Z78" s="23">
        <f t="shared" ref="Z78" si="97">+X78</f>
        <v>0.14399999999999999</v>
      </c>
      <c r="AA78" s="22" t="str">
        <f>IFERROR(IF(AB78="","",IF(AB78&lt;=0.2,"Leve",IF(AB78&lt;=0.4,"Menor",IF(AB78&lt;=0.6,"Moderado",IF(AB78&lt;=0.8,"Mayor","Catastrófico"))))),"")</f>
        <v>Menor</v>
      </c>
      <c r="AB78" s="23">
        <f>IFERROR(IF(AND(Q77="Impacto",Q78="Impacto"),(AB77-(+AB77*T78)),IF(Q78="Impacto",(M77-(+M77*T78)),IF(Q78="Probabilidad",AB77,""))),"")</f>
        <v>0.4</v>
      </c>
      <c r="AC78" s="24" t="str">
        <f t="shared" ref="AC78" si="98">IFERROR(IF(OR(AND(Y78="Muy Baja",AA78="Leve"),AND(Y78="Muy Baja",AA78="Menor"),AND(Y78="Baja",AA78="Leve")),"Bajo",IF(OR(AND(Y78="Muy baja",AA78="Moderado"),AND(Y78="Baja",AA78="Menor"),AND(Y78="Baja",AA78="Moderado"),AND(Y78="Media",AA78="Leve"),AND(Y78="Media",AA78="Menor"),AND(Y78="Media",AA78="Moderado"),AND(Y78="Alta",AA78="Leve"),AND(Y78="Alta",AA78="Menor")),"Moderado",IF(OR(AND(Y78="Muy Baja",AA78="Mayor"),AND(Y78="Baja",AA78="Mayor"),AND(Y78="Media",AA78="Mayor"),AND(Y78="Alta",AA78="Moderado"),AND(Y78="Alta",AA78="Mayor"),AND(Y78="Muy Alta",AA78="Leve"),AND(Y78="Muy Alta",AA78="Menor"),AND(Y78="Muy Alta",AA78="Moderado"),AND(Y78="Muy Alta",AA78="Mayor")),"Alto",IF(OR(AND(Y78="Muy Baja",AA78="Catastrófico"),AND(Y78="Baja",AA78="Catastrófico"),AND(Y78="Media",AA78="Catastrófico"),AND(Y78="Alta",AA78="Catastrófico"),AND(Y78="Muy Alta",AA78="Catastrófico")),"Extremo","")))),"")</f>
        <v>Bajo</v>
      </c>
      <c r="AD78" s="33" t="s">
        <v>57</v>
      </c>
      <c r="AE78" s="26" t="s">
        <v>184</v>
      </c>
      <c r="AF78" s="26" t="s">
        <v>145</v>
      </c>
      <c r="AG78" s="27">
        <v>44742</v>
      </c>
      <c r="AH78" s="73">
        <f>+I78-(I78*T78)</f>
        <v>0</v>
      </c>
      <c r="AI78" s="29"/>
      <c r="AJ78" s="30" t="s">
        <v>60</v>
      </c>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row>
    <row r="79" spans="1:68" ht="202.5" customHeight="1" x14ac:dyDescent="0.3">
      <c r="A79" s="121"/>
      <c r="B79" s="122" t="s">
        <v>61</v>
      </c>
      <c r="C79" s="122" t="s">
        <v>148</v>
      </c>
      <c r="D79" s="122" t="s">
        <v>185</v>
      </c>
      <c r="E79" s="134" t="s">
        <v>186</v>
      </c>
      <c r="F79" s="122" t="s">
        <v>65</v>
      </c>
      <c r="G79" s="124">
        <v>10</v>
      </c>
      <c r="H79" s="116" t="str">
        <f>IF(G79&lt;=0,"",IF(G79&lt;=2,"Muy Baja",IF(G79&lt;=24,"Baja",IF(G79&lt;=500,"Media",IF(G79&lt;=5000,"Alta","Muy Alta")))))</f>
        <v>Baja</v>
      </c>
      <c r="I79" s="114">
        <f>IF(H79="","",IF(H79="Muy Baja",0.2,IF(H79="Baja",0.4,IF(H79="Media",0.6,IF(H79="Alta",0.8,IF(H79="Muy Alta",1,))))))</f>
        <v>0.4</v>
      </c>
      <c r="J79" s="112" t="s">
        <v>96</v>
      </c>
      <c r="K79" s="136" t="str">
        <f>IF(NOT(ISERROR(MATCH(J79,'[7]Tabla Impacto'!$B$221:$B$223,0))),'[7]Tabla Impacto'!$F$223&amp;"Por favor no seleccionar los criterios de impacto(Afectación Económica o presupuestal y Pérdida Reputacional)",J79)</f>
        <v xml:space="preserve">     El riesgo afecta la imagen de la entidad internamente, de conocimiento general, nivel interno, de junta dircetiva y accionistas y/o de provedores</v>
      </c>
      <c r="L79" s="116" t="str">
        <f>IF(OR(K79='[7]Tabla Impacto'!$C$11,K79='[7]Tabla Impacto'!$D$11),"Leve",IF(OR(K79='[7]Tabla Impacto'!$C$12,K79='[7]Tabla Impacto'!$D$12),"Menor",IF(OR(K79='[7]Tabla Impacto'!$C$13,K79='[7]Tabla Impacto'!$D$13),"Moderado",IF(OR(K79='[7]Tabla Impacto'!$C$14,K79='[7]Tabla Impacto'!$D$14),"Mayor",IF(OR(K79='[7]Tabla Impacto'!$C$15,K79='[7]Tabla Impacto'!$D$15),"Catastrófico","")))))</f>
        <v>Menor</v>
      </c>
      <c r="M79" s="114">
        <f>IF(L79="","",IF(L79="Leve",0.2,IF(L79="Menor",0.4,IF(L79="Moderado",0.6,IF(L79="Mayor",0.8,IF(L79="Catastrófico",1,))))))</f>
        <v>0.4</v>
      </c>
      <c r="N79" s="118" t="str">
        <f>IF(OR(AND(H79="Muy Baja",L79="Leve"),AND(H79="Muy Baja",L79="Menor"),AND(H79="Baja",L79="Leve")),"Bajo",IF(OR(AND(H79="Muy baja",L79="Moderado"),AND(H79="Baja",L79="Menor"),AND(H79="Baja",L79="Moderado"),AND(H79="Media",L79="Leve"),AND(H79="Media",L79="Menor"),AND(H79="Media",L79="Moderado"),AND(H79="Alta",L79="Leve"),AND(H79="Alta",L79="Menor")),"Moderado",IF(OR(AND(H79="Muy Baja",L79="Mayor"),AND(H79="Baja",L79="Mayor"),AND(H79="Media",L79="Mayor"),AND(H79="Alta",L79="Moderado"),AND(H79="Alta",L79="Mayor"),AND(H79="Muy Alta",L79="Leve"),AND(H79="Muy Alta",L79="Menor"),AND(H79="Muy Alta",L79="Moderado"),AND(H79="Muy Alta",L79="Mayor")),"Alto",IF(OR(AND(H79="Muy Baja",L79="Catastrófico"),AND(H79="Baja",L79="Catastrófico"),AND(H79="Media",L79="Catastrófico"),AND(H79="Alta",L79="Catastrófico"),AND(H79="Muy Alta",L79="Catastrófico")),"Extremo",""))))</f>
        <v>Moderado</v>
      </c>
      <c r="O79" s="46">
        <v>1</v>
      </c>
      <c r="P79" s="17" t="s">
        <v>187</v>
      </c>
      <c r="Q79" s="18" t="str">
        <f>IF(OR(R79="Preventivo",R79="Detectivo"),"Probabilidad",IF(R79="Correctivo","Impacto",""))</f>
        <v>Impacto</v>
      </c>
      <c r="R79" s="19" t="s">
        <v>152</v>
      </c>
      <c r="S79" s="19" t="s">
        <v>68</v>
      </c>
      <c r="T79" s="20" t="str">
        <f>IF(AND(R79="Preventivo",S79="Automático"),"50%",IF(AND(R79="Preventivo",S79="Manual"),"40%",IF(AND(R79="Detectivo",S79="Automático"),"40%",IF(AND(R79="Detectivo",S79="Manual"),"30%",IF(AND(R79="Correctivo",S79="Automático"),"35%",IF(AND(R79="Correctivo",S79="Manual"),"25%",""))))))</f>
        <v>25%</v>
      </c>
      <c r="U79" s="19" t="s">
        <v>54</v>
      </c>
      <c r="V79" s="19" t="s">
        <v>55</v>
      </c>
      <c r="W79" s="19" t="s">
        <v>56</v>
      </c>
      <c r="X79" s="38">
        <f>IFERROR(IF(Q79="Probabilidad",(I79-(+I79*T79)),IF(Q79="Impacto",I79,"")),"")</f>
        <v>0.4</v>
      </c>
      <c r="Y79" s="22" t="str">
        <f>IFERROR(IF(X79="","",IF(X79&lt;=0.2,"Muy Baja",IF(X79&lt;=0.4,"Baja",IF(X79&lt;=0.6,"Media",IF(X79&lt;=0.8,"Alta","Muy Alta"))))),"")</f>
        <v>Baja</v>
      </c>
      <c r="Z79" s="23">
        <f>+X79</f>
        <v>0.4</v>
      </c>
      <c r="AA79" s="22" t="str">
        <f>IFERROR(IF(AB79="","",IF(AB79&lt;=0.2,"Leve",IF(AB79&lt;=0.4,"Menor",IF(AB79&lt;=0.6,"Moderado",IF(AB79&lt;=0.8,"Mayor","Catastrófico"))))),"")</f>
        <v>Menor</v>
      </c>
      <c r="AB79" s="23">
        <f>IFERROR(IF(Q79="Impacto",(M79-(+M79*T79)),IF(Q79="Probabilidad",M79,"")),"")</f>
        <v>0.30000000000000004</v>
      </c>
      <c r="AC79" s="24" t="str">
        <f>IFERROR(IF(OR(AND(Y79="Muy Baja",AA79="Leve"),AND(Y79="Muy Baja",AA79="Menor"),AND(Y79="Baja",AA79="Leve")),"Bajo",IF(OR(AND(Y79="Muy baja",AA79="Moderado"),AND(Y79="Baja",AA79="Menor"),AND(Y79="Baja",AA79="Moderado"),AND(Y79="Media",AA79="Leve"),AND(Y79="Media",AA79="Menor"),AND(Y79="Media",AA79="Moderado"),AND(Y79="Alta",AA79="Leve"),AND(Y79="Alta",AA79="Menor")),"Moderado",IF(OR(AND(Y79="Muy Baja",AA79="Mayor"),AND(Y79="Baja",AA79="Mayor"),AND(Y79="Media",AA79="Mayor"),AND(Y79="Alta",AA79="Moderado"),AND(Y79="Alta",AA79="Mayor"),AND(Y79="Muy Alta",AA79="Leve"),AND(Y79="Muy Alta",AA79="Menor"),AND(Y79="Muy Alta",AA79="Moderado"),AND(Y79="Muy Alta",AA79="Mayor")),"Alto",IF(OR(AND(Y79="Muy Baja",AA79="Catastrófico"),AND(Y79="Baja",AA79="Catastrófico"),AND(Y79="Media",AA79="Catastrófico"),AND(Y79="Alta",AA79="Catastrófico"),AND(Y79="Muy Alta",AA79="Catastrófico")),"Extremo","")))),"")</f>
        <v>Moderado</v>
      </c>
      <c r="AD79" s="33" t="s">
        <v>57</v>
      </c>
      <c r="AE79" s="122" t="s">
        <v>188</v>
      </c>
      <c r="AF79" s="122" t="s">
        <v>154</v>
      </c>
      <c r="AG79" s="127">
        <v>44742</v>
      </c>
      <c r="AH79" s="127"/>
      <c r="AI79" s="130"/>
      <c r="AJ79" s="124" t="s">
        <v>60</v>
      </c>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row>
    <row r="80" spans="1:68" ht="191.25" customHeight="1" x14ac:dyDescent="0.3">
      <c r="A80" s="121"/>
      <c r="B80" s="123"/>
      <c r="C80" s="123"/>
      <c r="D80" s="123"/>
      <c r="E80" s="135"/>
      <c r="F80" s="123"/>
      <c r="G80" s="125"/>
      <c r="H80" s="117"/>
      <c r="I80" s="115"/>
      <c r="J80" s="113"/>
      <c r="K80" s="137">
        <f>IF(NOT(ISERROR(MATCH(J80,_xlfn.ANCHORARRAY(E84),0))),#REF!&amp;"Por favor no seleccionar los criterios de impacto",J80)</f>
        <v>0</v>
      </c>
      <c r="L80" s="117"/>
      <c r="M80" s="115"/>
      <c r="N80" s="119"/>
      <c r="O80" s="46">
        <v>2</v>
      </c>
      <c r="P80" s="17" t="s">
        <v>189</v>
      </c>
      <c r="Q80" s="18" t="str">
        <f>IF(OR(R80="Preventivo",R80="Detectivo"),"Probabilidad",IF(R80="Correctivo","Impacto",""))</f>
        <v>Probabilidad</v>
      </c>
      <c r="R80" s="19" t="s">
        <v>81</v>
      </c>
      <c r="S80" s="19" t="s">
        <v>68</v>
      </c>
      <c r="T80" s="20" t="str">
        <f t="shared" ref="T80:T82" si="99">IF(AND(R80="Preventivo",S80="Automático"),"50%",IF(AND(R80="Preventivo",S80="Manual"),"40%",IF(AND(R80="Detectivo",S80="Automático"),"40%",IF(AND(R80="Detectivo",S80="Manual"),"30%",IF(AND(R80="Correctivo",S80="Automático"),"35%",IF(AND(R80="Correctivo",S80="Manual"),"25%",""))))))</f>
        <v>40%</v>
      </c>
      <c r="U80" s="19" t="s">
        <v>54</v>
      </c>
      <c r="V80" s="19" t="s">
        <v>70</v>
      </c>
      <c r="W80" s="19" t="s">
        <v>71</v>
      </c>
      <c r="X80" s="38">
        <f>IFERROR(IF(AND(Q79="Probabilidad",Q80="Probabilidad"),(Z79-(+Z79*T80)),IF(Q80="Probabilidad",(I79-(+I79*T80)),IF(Q80="Impacto",Z79,""))),"")</f>
        <v>0.24</v>
      </c>
      <c r="Y80" s="22" t="str">
        <f t="shared" si="96"/>
        <v>Baja</v>
      </c>
      <c r="Z80" s="23">
        <f t="shared" ref="Z80:Z82" si="100">+X80</f>
        <v>0.24</v>
      </c>
      <c r="AA80" s="22" t="str">
        <f t="shared" ref="AA80:AA82" si="101">IFERROR(IF(AB80="","",IF(AB80&lt;=0.2,"Leve",IF(AB80&lt;=0.4,"Menor",IF(AB80&lt;=0.6,"Moderado",IF(AB80&lt;=0.8,"Mayor","Catastrófico"))))),"")</f>
        <v>Menor</v>
      </c>
      <c r="AB80" s="23">
        <f>IFERROR(IF(AND(Q79="Impacto",Q80="Impacto"),(AB79-(+AB79*T80)),IF(Q80="Impacto",(M79-(+M79*T80)),IF(Q80="Probabilidad",AB79,""))),"")</f>
        <v>0.30000000000000004</v>
      </c>
      <c r="AC80" s="24" t="str">
        <f t="shared" ref="AC80:AC81" si="102">IFERROR(IF(OR(AND(Y80="Muy Baja",AA80="Leve"),AND(Y80="Muy Baja",AA80="Menor"),AND(Y80="Baja",AA80="Leve")),"Bajo",IF(OR(AND(Y80="Muy baja",AA80="Moderado"),AND(Y80="Baja",AA80="Menor"),AND(Y80="Baja",AA80="Moderado"),AND(Y80="Media",AA80="Leve"),AND(Y80="Media",AA80="Menor"),AND(Y80="Media",AA80="Moderado"),AND(Y80="Alta",AA80="Leve"),AND(Y80="Alta",AA80="Menor")),"Moderado",IF(OR(AND(Y80="Muy Baja",AA80="Mayor"),AND(Y80="Baja",AA80="Mayor"),AND(Y80="Media",AA80="Mayor"),AND(Y80="Alta",AA80="Moderado"),AND(Y80="Alta",AA80="Mayor"),AND(Y80="Muy Alta",AA80="Leve"),AND(Y80="Muy Alta",AA80="Menor"),AND(Y80="Muy Alta",AA80="Moderado"),AND(Y80="Muy Alta",AA80="Mayor")),"Alto",IF(OR(AND(Y80="Muy Baja",AA80="Catastrófico"),AND(Y80="Baja",AA80="Catastrófico"),AND(Y80="Media",AA80="Catastrófico"),AND(Y80="Alta",AA80="Catastrófico"),AND(Y80="Muy Alta",AA80="Catastrófico")),"Extremo","")))),"")</f>
        <v>Moderado</v>
      </c>
      <c r="AD80" s="33" t="s">
        <v>57</v>
      </c>
      <c r="AE80" s="123"/>
      <c r="AF80" s="123"/>
      <c r="AG80" s="128"/>
      <c r="AH80" s="128"/>
      <c r="AI80" s="131"/>
      <c r="AJ80" s="125"/>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row>
    <row r="81" spans="1:68" ht="239.25" customHeight="1" x14ac:dyDescent="0.3">
      <c r="A81" s="121"/>
      <c r="B81" s="123"/>
      <c r="C81" s="123"/>
      <c r="D81" s="123"/>
      <c r="E81" s="135"/>
      <c r="F81" s="123"/>
      <c r="G81" s="125"/>
      <c r="H81" s="117"/>
      <c r="I81" s="115"/>
      <c r="J81" s="113"/>
      <c r="K81" s="137">
        <f>IF(NOT(ISERROR(MATCH(J81,_xlfn.ANCHORARRAY(#REF!),0))),#REF!&amp;"Por favor no seleccionar los criterios de impacto",J81)</f>
        <v>0</v>
      </c>
      <c r="L81" s="117"/>
      <c r="M81" s="115"/>
      <c r="N81" s="119"/>
      <c r="O81" s="46">
        <v>3</v>
      </c>
      <c r="P81" s="34" t="s">
        <v>190</v>
      </c>
      <c r="Q81" s="18" t="str">
        <f>IF(OR(R81="Preventivo",R81="Detectivo"),"Probabilidad",IF(R81="Correctivo","Impacto",""))</f>
        <v>Probabilidad</v>
      </c>
      <c r="R81" s="19" t="s">
        <v>81</v>
      </c>
      <c r="S81" s="19" t="s">
        <v>53</v>
      </c>
      <c r="T81" s="20" t="str">
        <f t="shared" si="99"/>
        <v>50%</v>
      </c>
      <c r="U81" s="19" t="s">
        <v>69</v>
      </c>
      <c r="V81" s="19" t="s">
        <v>70</v>
      </c>
      <c r="W81" s="19" t="s">
        <v>56</v>
      </c>
      <c r="X81" s="21">
        <f>IFERROR(IF(AND(Q80="Probabilidad",Q81="Probabilidad"),(Z80-(+Z80*T81)),IF(AND(Q80="Impacto",Q81="Probabilidad"),(Z79-(+Z79*T81)),IF(Q81="Impacto",Z80,""))),"")</f>
        <v>0.12</v>
      </c>
      <c r="Y81" s="22" t="str">
        <f t="shared" si="96"/>
        <v>Muy Baja</v>
      </c>
      <c r="Z81" s="23">
        <f t="shared" si="100"/>
        <v>0.12</v>
      </c>
      <c r="AA81" s="22" t="str">
        <f t="shared" si="101"/>
        <v>Menor</v>
      </c>
      <c r="AB81" s="23">
        <f>IFERROR(IF(AND(Q80="Impacto",Q81="Impacto"),(AB80-(+AB80*T81)),IF(AND(Q80="Probabilidad",Q81="Impacto"),(AB79-(+AB79*T81)),IF(Q81="Probabilidad",AB80,""))),"")</f>
        <v>0.30000000000000004</v>
      </c>
      <c r="AC81" s="24" t="str">
        <f t="shared" si="102"/>
        <v>Bajo</v>
      </c>
      <c r="AD81" s="33" t="s">
        <v>57</v>
      </c>
      <c r="AE81" s="123"/>
      <c r="AF81" s="123"/>
      <c r="AG81" s="128"/>
      <c r="AH81" s="128"/>
      <c r="AI81" s="131"/>
      <c r="AJ81" s="125"/>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row>
    <row r="82" spans="1:68" ht="243" customHeight="1" x14ac:dyDescent="0.3">
      <c r="A82" s="121"/>
      <c r="B82" s="123"/>
      <c r="C82" s="123"/>
      <c r="D82" s="123"/>
      <c r="E82" s="135"/>
      <c r="F82" s="123"/>
      <c r="G82" s="125"/>
      <c r="H82" s="117"/>
      <c r="I82" s="115"/>
      <c r="J82" s="113"/>
      <c r="K82" s="137">
        <f>IF(NOT(ISERROR(MATCH(J82,_xlfn.ANCHORARRAY(#REF!),0))),#REF!&amp;"Por favor no seleccionar los criterios de impacto",J82)</f>
        <v>0</v>
      </c>
      <c r="L82" s="117"/>
      <c r="M82" s="115"/>
      <c r="N82" s="119"/>
      <c r="O82" s="46">
        <v>4</v>
      </c>
      <c r="P82" s="34" t="s">
        <v>191</v>
      </c>
      <c r="Q82" s="18" t="str">
        <f t="shared" ref="Q82" si="103">IF(OR(R82="Preventivo",R82="Detectivo"),"Probabilidad",IF(R82="Correctivo","Impacto",""))</f>
        <v>Probabilidad</v>
      </c>
      <c r="R82" s="19" t="s">
        <v>81</v>
      </c>
      <c r="S82" s="19" t="s">
        <v>68</v>
      </c>
      <c r="T82" s="20" t="str">
        <f t="shared" si="99"/>
        <v>40%</v>
      </c>
      <c r="U82" s="19" t="s">
        <v>54</v>
      </c>
      <c r="V82" s="19" t="s">
        <v>55</v>
      </c>
      <c r="W82" s="19" t="s">
        <v>56</v>
      </c>
      <c r="X82" s="21">
        <f t="shared" ref="X82" si="104">IFERROR(IF(AND(Q81="Probabilidad",Q82="Probabilidad"),(Z81-(+Z81*T82)),IF(AND(Q81="Impacto",Q82="Probabilidad"),(Z80-(+Z80*T82)),IF(Q82="Impacto",Z81,""))),"")</f>
        <v>7.1999999999999995E-2</v>
      </c>
      <c r="Y82" s="22" t="str">
        <f t="shared" si="96"/>
        <v>Muy Baja</v>
      </c>
      <c r="Z82" s="23">
        <f t="shared" si="100"/>
        <v>7.1999999999999995E-2</v>
      </c>
      <c r="AA82" s="22" t="str">
        <f t="shared" si="101"/>
        <v>Menor</v>
      </c>
      <c r="AB82" s="23">
        <f t="shared" ref="AB82" si="105">IFERROR(IF(AND(Q81="Impacto",Q82="Impacto"),(AB81-(+AB81*T82)),IF(AND(Q81="Probabilidad",Q82="Impacto"),(AB80-(+AB80*T82)),IF(Q82="Probabilidad",AB81,""))),"")</f>
        <v>0.30000000000000004</v>
      </c>
      <c r="AC82" s="24" t="str">
        <f t="shared" ref="AC82:AC87" si="106">IFERROR(IF(OR(AND(Y82="Muy Baja",AA82="Leve"),AND(Y82="Muy Baja",AA82="Menor"),AND(Y82="Baja",AA82="Leve")),"Bajo",IF(OR(AND(Y82="Muy baja",AA82="Moderado"),AND(Y82="Baja",AA82="Menor"),AND(Y82="Baja",AA82="Moderado"),AND(Y82="Media",AA82="Leve"),AND(Y82="Media",AA82="Menor"),AND(Y82="Media",AA82="Moderado"),AND(Y82="Alta",AA82="Leve"),AND(Y82="Alta",AA82="Menor")),"Moderado",IF(OR(AND(Y82="Muy Baja",AA82="Mayor"),AND(Y82="Baja",AA82="Mayor"),AND(Y82="Media",AA82="Mayor"),AND(Y82="Alta",AA82="Moderado"),AND(Y82="Alta",AA82="Mayor"),AND(Y82="Muy Alta",AA82="Leve"),AND(Y82="Muy Alta",AA82="Menor"),AND(Y82="Muy Alta",AA82="Moderado"),AND(Y82="Muy Alta",AA82="Mayor")),"Alto",IF(OR(AND(Y82="Muy Baja",AA82="Catastrófico"),AND(Y82="Baja",AA82="Catastrófico"),AND(Y82="Media",AA82="Catastrófico"),AND(Y82="Alta",AA82="Catastrófico"),AND(Y82="Muy Alta",AA82="Catastrófico")),"Extremo","")))),"")</f>
        <v>Bajo</v>
      </c>
      <c r="AD82" s="33" t="s">
        <v>57</v>
      </c>
      <c r="AE82" s="126"/>
      <c r="AF82" s="126"/>
      <c r="AG82" s="129"/>
      <c r="AH82" s="129"/>
      <c r="AI82" s="132"/>
      <c r="AJ82" s="133"/>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row>
    <row r="83" spans="1:68" ht="151.5" customHeight="1" x14ac:dyDescent="0.3">
      <c r="A83" s="110" t="s">
        <v>211</v>
      </c>
      <c r="B83" s="59" t="s">
        <v>45</v>
      </c>
      <c r="C83" s="59" t="s">
        <v>193</v>
      </c>
      <c r="D83" s="59" t="s">
        <v>194</v>
      </c>
      <c r="E83" s="59" t="s">
        <v>195</v>
      </c>
      <c r="F83" s="59" t="s">
        <v>107</v>
      </c>
      <c r="G83" s="69">
        <v>365</v>
      </c>
      <c r="H83" s="66" t="str">
        <f>IF(G83&lt;=0,"",IF(G83&lt;=2,"Muy Baja",IF(G83&lt;=24,"Baja",IF(G83&lt;=500,"Media",IF(G83&lt;=5000,"Alta","Muy Alta")))))</f>
        <v>Media</v>
      </c>
      <c r="I83" s="45">
        <f>IF(H83="","",IF(H83="Muy Baja",0.2,IF(H83="Baja",0.4,IF(H83="Media",0.6,IF(H83="Alta",0.8,IF(H83="Muy Alta",1,))))))</f>
        <v>0.6</v>
      </c>
      <c r="J83" s="65" t="s">
        <v>196</v>
      </c>
      <c r="K83" s="45" t="str">
        <f>IF(NOT(ISERROR(MATCH(J83,'[8]Tabla Impacto'!$B$221:$B$223,0))),'[8]Tabla Impacto'!$F$223&amp;"Por favor no seleccionar los criterios de impacto(Afectación Económica o presupuestal y Pérdida Reputacional)",J83)</f>
        <v xml:space="preserve">     El riesgo afecta la imagen de alguna área de la organización</v>
      </c>
      <c r="L83" s="66" t="str">
        <f>IF(OR(K83='[8]Tabla Impacto'!$C$11,K83='[8]Tabla Impacto'!$D$11),"Leve",IF(OR(K83='[8]Tabla Impacto'!$C$12,K83='[8]Tabla Impacto'!$D$12),"Menor",IF(OR(K83='[8]Tabla Impacto'!$C$13,K83='[8]Tabla Impacto'!$D$13),"Moderado",IF(OR(K83='[8]Tabla Impacto'!$C$14,K83='[8]Tabla Impacto'!$D$14),"Mayor",IF(OR(K83='[8]Tabla Impacto'!$C$15,K83='[8]Tabla Impacto'!$D$15),"Catastrófico","")))))</f>
        <v>Leve</v>
      </c>
      <c r="M83" s="45">
        <f>IF(L83="","",IF(L83="Leve",0.2,IF(L83="Menor",0.4,IF(L83="Moderado",0.6,IF(L83="Mayor",0.8,IF(L83="Catastrófico",1,))))))</f>
        <v>0.2</v>
      </c>
      <c r="N83" s="67" t="str">
        <f>IF(OR(AND(H83="Muy Baja",L83="Leve"),AND(H83="Muy Baja",L83="Menor"),AND(H83="Baja",L83="Leve")),"Bajo",IF(OR(AND(H83="Muy baja",L83="Moderado"),AND(H83="Baja",L83="Menor"),AND(H83="Baja",L83="Moderado"),AND(H83="Media",L83="Leve"),AND(H83="Media",L83="Menor"),AND(H83="Media",L83="Moderado"),AND(H83="Alta",L83="Leve"),AND(H83="Alta",L83="Menor")),"Moderado",IF(OR(AND(H83="Muy Baja",L83="Mayor"),AND(H83="Baja",L83="Mayor"),AND(H83="Media",L83="Mayor"),AND(H83="Alta",L83="Moderado"),AND(H83="Alta",L83="Mayor"),AND(H83="Muy Alta",L83="Leve"),AND(H83="Muy Alta",L83="Menor"),AND(H83="Muy Alta",L83="Moderado"),AND(H83="Muy Alta",L83="Mayor")),"Alto",IF(OR(AND(H83="Muy Baja",L83="Catastrófico"),AND(H83="Baja",L83="Catastrófico"),AND(H83="Media",L83="Catastrófico"),AND(H83="Alta",L83="Catastrófico"),AND(H83="Muy Alta",L83="Catastrófico")),"Extremo",""))))</f>
        <v>Moderado</v>
      </c>
      <c r="O83" s="46">
        <v>1</v>
      </c>
      <c r="P83" s="55" t="s">
        <v>197</v>
      </c>
      <c r="Q83" s="35" t="str">
        <f>IF(OR(R83="Preventivo",R83="Detectivo"),"Probabilidad",IF(R83="Correctivo","Impacto",""))</f>
        <v>Probabilidad</v>
      </c>
      <c r="R83" s="36" t="s">
        <v>52</v>
      </c>
      <c r="S83" s="36" t="s">
        <v>68</v>
      </c>
      <c r="T83" s="37" t="str">
        <f>IF(AND(R83="Preventivo",S83="Automático"),"50%",IF(AND(R83="Preventivo",S83="Manual"),"40%",IF(AND(R83="Detectivo",S83="Automático"),"40%",IF(AND(R83="Detectivo",S83="Manual"),"30%",IF(AND(R83="Correctivo",S83="Automático"),"35%",IF(AND(R83="Correctivo",S83="Manual"),"25%",""))))))</f>
        <v>30%</v>
      </c>
      <c r="U83" s="36" t="s">
        <v>69</v>
      </c>
      <c r="V83" s="36" t="s">
        <v>55</v>
      </c>
      <c r="W83" s="36" t="s">
        <v>71</v>
      </c>
      <c r="X83" s="38">
        <f>IFERROR(IF(Q83="Probabilidad",(I83-(+I83*T83)),IF(Q83="Impacto",I83,"")),"")</f>
        <v>0.42</v>
      </c>
      <c r="Y83" s="39" t="str">
        <f>IFERROR(IF(X83="","",IF(X83&lt;=0.2,"Muy Baja",IF(X83&lt;=0.4,"Baja",IF(X83&lt;=0.6,"Media",IF(X83&lt;=0.8,"Alta","Muy Alta"))))),"")</f>
        <v>Media</v>
      </c>
      <c r="Z83" s="40">
        <f>+X83</f>
        <v>0.42</v>
      </c>
      <c r="AA83" s="39" t="str">
        <f>IFERROR(IF(AB83="","",IF(AB83&lt;=0.2,"Leve",IF(AB83&lt;=0.4,"Menor",IF(AB83&lt;=0.6,"Moderado",IF(AB83&lt;=0.8,"Mayor","Catastrófico"))))),"")</f>
        <v>Leve</v>
      </c>
      <c r="AB83" s="40">
        <f>IFERROR(IF(Q83="Impacto",(M83-(+M83*T83)),IF(Q83="Probabilidad",M83,"")),"")</f>
        <v>0.2</v>
      </c>
      <c r="AC83" s="41" t="str">
        <f t="shared" si="106"/>
        <v>Moderado</v>
      </c>
      <c r="AD83" s="25" t="s">
        <v>82</v>
      </c>
      <c r="AE83" s="74"/>
      <c r="AF83" s="75"/>
      <c r="AG83" s="76"/>
      <c r="AH83" s="76"/>
      <c r="AI83" s="74"/>
      <c r="AJ83" s="75"/>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row>
    <row r="84" spans="1:68" ht="151.5" customHeight="1" x14ac:dyDescent="0.3">
      <c r="A84" s="111"/>
      <c r="B84" s="59" t="s">
        <v>45</v>
      </c>
      <c r="C84" s="59" t="s">
        <v>198</v>
      </c>
      <c r="D84" s="59" t="s">
        <v>199</v>
      </c>
      <c r="E84" s="68" t="s">
        <v>200</v>
      </c>
      <c r="F84" s="59" t="s">
        <v>201</v>
      </c>
      <c r="G84" s="77">
        <v>365</v>
      </c>
      <c r="H84" s="66" t="str">
        <f>IF(G84&lt;=0,"",IF(G84&lt;=2,"Muy Baja",IF(G84&lt;=24,"Baja",IF(G84&lt;=500,"Media",IF(G84&lt;=5000,"Alta","Muy Alta")))))</f>
        <v>Media</v>
      </c>
      <c r="I84" s="45">
        <f>IF(H84="","",IF(H84="Muy Baja",0.2,IF(H84="Baja",0.4,IF(H84="Media",0.6,IF(H84="Alta",0.8,IF(H84="Muy Alta",1,))))))</f>
        <v>0.6</v>
      </c>
      <c r="J84" s="65" t="s">
        <v>100</v>
      </c>
      <c r="K84" s="45" t="str">
        <f>IF(NOT(ISERROR(MATCH(J84,'[8]Tabla Impacto'!$B$221:$B$223,0))),'[8]Tabla Impacto'!$F$223&amp;"Por favor no seleccionar los criterios de impacto(Afectación Económica o presupuestal y Pérdida Reputacional)",J84)</f>
        <v xml:space="preserve">     El riesgo afecta la imagen de la entidad con algunos usuarios de relevancia frente al logro de los objetivos</v>
      </c>
      <c r="L84" s="66" t="str">
        <f>IF(OR(K84='[8]Tabla Impacto'!$C$11,K84='[8]Tabla Impacto'!$D$11),"Leve",IF(OR(K84='[8]Tabla Impacto'!$C$12,K84='[8]Tabla Impacto'!$D$12),"Menor",IF(OR(K84='[8]Tabla Impacto'!$C$13,K84='[8]Tabla Impacto'!$D$13),"Moderado",IF(OR(K84='[8]Tabla Impacto'!$C$14,K84='[8]Tabla Impacto'!$D$14),"Mayor",IF(OR(K84='[8]Tabla Impacto'!$C$15,K84='[8]Tabla Impacto'!$D$15),"Catastrófico","")))))</f>
        <v>Moderado</v>
      </c>
      <c r="M84" s="45">
        <f>IF(L84="","",IF(L84="Leve",0.2,IF(L84="Menor",0.4,IF(L84="Moderado",0.6,IF(L84="Mayor",0.8,IF(L84="Catastrófico",1,))))))</f>
        <v>0.6</v>
      </c>
      <c r="N84" s="67" t="str">
        <f>IF(OR(AND(H84="Muy Baja",L84="Leve"),AND(H84="Muy Baja",L84="Menor"),AND(H84="Baja",L84="Leve")),"Bajo",IF(OR(AND(H84="Muy baja",L84="Moderado"),AND(H84="Baja",L84="Menor"),AND(H84="Baja",L84="Moderado"),AND(H84="Media",L84="Leve"),AND(H84="Media",L84="Menor"),AND(H84="Media",L84="Moderado"),AND(H84="Alta",L84="Leve"),AND(H84="Alta",L84="Menor")),"Moderado",IF(OR(AND(H84="Muy Baja",L84="Mayor"),AND(H84="Baja",L84="Mayor"),AND(H84="Media",L84="Mayor"),AND(H84="Alta",L84="Moderado"),AND(H84="Alta",L84="Mayor"),AND(H84="Muy Alta",L84="Leve"),AND(H84="Muy Alta",L84="Menor"),AND(H84="Muy Alta",L84="Moderado"),AND(H84="Muy Alta",L84="Mayor")),"Alto",IF(OR(AND(H84="Muy Baja",L84="Catastrófico"),AND(H84="Baja",L84="Catastrófico"),AND(H84="Media",L84="Catastrófico"),AND(H84="Alta",L84="Catastrófico"),AND(H84="Muy Alta",L84="Catastrófico")),"Extremo",""))))</f>
        <v>Moderado</v>
      </c>
      <c r="O84" s="46">
        <v>1</v>
      </c>
      <c r="P84" s="55" t="s">
        <v>202</v>
      </c>
      <c r="Q84" s="35" t="str">
        <f>IF(OR(R84="Preventivo",R84="Detectivo"),"Probabilidad",IF(R84="Correctivo","Impacto",""))</f>
        <v>Probabilidad</v>
      </c>
      <c r="R84" s="36" t="s">
        <v>81</v>
      </c>
      <c r="S84" s="36" t="s">
        <v>68</v>
      </c>
      <c r="T84" s="37" t="str">
        <f>IF(AND(R84="Preventivo",S84="Automático"),"50%",IF(AND(R84="Preventivo",S84="Manual"),"40%",IF(AND(R84="Detectivo",S84="Automático"),"40%",IF(AND(R84="Detectivo",S84="Manual"),"30%",IF(AND(R84="Correctivo",S84="Automático"),"35%",IF(AND(R84="Correctivo",S84="Manual"),"25%",""))))))</f>
        <v>40%</v>
      </c>
      <c r="U84" s="36" t="s">
        <v>69</v>
      </c>
      <c r="V84" s="36" t="s">
        <v>55</v>
      </c>
      <c r="W84" s="36" t="s">
        <v>71</v>
      </c>
      <c r="X84" s="38">
        <f>IFERROR(IF(Q84="Probabilidad",(I84-(+I84*T84)),IF(Q84="Impacto",I84,"")),"")</f>
        <v>0.36</v>
      </c>
      <c r="Y84" s="39" t="str">
        <f>IFERROR(IF(X84="","",IF(X84&lt;=0.2,"Muy Baja",IF(X84&lt;=0.4,"Baja",IF(X84&lt;=0.6,"Media",IF(X84&lt;=0.8,"Alta","Muy Alta"))))),"")</f>
        <v>Baja</v>
      </c>
      <c r="Z84" s="40">
        <f>+X84</f>
        <v>0.36</v>
      </c>
      <c r="AA84" s="39" t="str">
        <f>IFERROR(IF(AB84="","",IF(AB84&lt;=0.2,"Leve",IF(AB84&lt;=0.4,"Menor",IF(AB84&lt;=0.6,"Moderado",IF(AB84&lt;=0.8,"Mayor","Catastrófico"))))),"")</f>
        <v>Moderado</v>
      </c>
      <c r="AB84" s="40">
        <f>IFERROR(IF(Q84="Impacto",(M84-(+M84*T84)),IF(Q84="Probabilidad",M84,"")),"")</f>
        <v>0.6</v>
      </c>
      <c r="AC84" s="41" t="str">
        <f t="shared" si="106"/>
        <v>Moderado</v>
      </c>
      <c r="AD84" s="25" t="s">
        <v>82</v>
      </c>
      <c r="AE84" s="74"/>
      <c r="AF84" s="75"/>
      <c r="AG84" s="76"/>
      <c r="AH84" s="76"/>
      <c r="AI84" s="74"/>
      <c r="AJ84" s="75"/>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row>
    <row r="85" spans="1:68" ht="214.5" x14ac:dyDescent="0.3">
      <c r="A85" s="111"/>
      <c r="B85" s="59" t="s">
        <v>45</v>
      </c>
      <c r="C85" s="59" t="s">
        <v>203</v>
      </c>
      <c r="D85" s="59" t="s">
        <v>204</v>
      </c>
      <c r="E85" s="68" t="s">
        <v>205</v>
      </c>
      <c r="F85" s="59" t="s">
        <v>65</v>
      </c>
      <c r="G85" s="69">
        <v>24</v>
      </c>
      <c r="H85" s="66" t="str">
        <f>IF(G85&lt;=0,"",IF(G85&lt;=2,"Muy Baja",IF(G85&lt;=24,"Baja",IF(G85&lt;=500,"Media",IF(G85&lt;=5000,"Alta","Muy Alta")))))</f>
        <v>Baja</v>
      </c>
      <c r="I85" s="45">
        <f>IF(H85="","",IF(H85="Muy Baja",0.2,IF(H85="Baja",0.4,IF(H85="Media",0.6,IF(H85="Alta",0.8,IF(H85="Muy Alta",1,))))))</f>
        <v>0.4</v>
      </c>
      <c r="J85" s="65" t="s">
        <v>196</v>
      </c>
      <c r="K85" s="45" t="str">
        <f>IF(NOT(ISERROR(MATCH(J85,'[8]Tabla Impacto'!$B$221:$B$223,0))),'[8]Tabla Impacto'!$F$223&amp;"Por favor no seleccionar los criterios de impacto(Afectación Económica o presupuestal y Pérdida Reputacional)",J85)</f>
        <v xml:space="preserve">     El riesgo afecta la imagen de alguna área de la organización</v>
      </c>
      <c r="L85" s="66" t="str">
        <f>IF(OR(K85='[8]Tabla Impacto'!$C$11,K85='[8]Tabla Impacto'!$D$11),"Leve",IF(OR(K85='[8]Tabla Impacto'!$C$12,K85='[8]Tabla Impacto'!$D$12),"Menor",IF(OR(K85='[8]Tabla Impacto'!$C$13,K85='[8]Tabla Impacto'!$D$13),"Moderado",IF(OR(K85='[8]Tabla Impacto'!$C$14,K85='[8]Tabla Impacto'!$D$14),"Mayor",IF(OR(K85='[8]Tabla Impacto'!$C$15,K85='[8]Tabla Impacto'!$D$15),"Catastrófico","")))))</f>
        <v>Leve</v>
      </c>
      <c r="M85" s="45">
        <f>IF(L85="","",IF(L85="Leve",0.2,IF(L85="Menor",0.4,IF(L85="Moderado",0.6,IF(L85="Mayor",0.8,IF(L85="Catastrófico",1,))))))</f>
        <v>0.2</v>
      </c>
      <c r="N85" s="67" t="str">
        <f>IF(OR(AND(H85="Muy Baja",L85="Leve"),AND(H85="Muy Baja",L85="Menor"),AND(H85="Baja",L85="Leve")),"Bajo",IF(OR(AND(H85="Muy baja",L85="Moderado"),AND(H85="Baja",L85="Menor"),AND(H85="Baja",L85="Moderado"),AND(H85="Media",L85="Leve"),AND(H85="Media",L85="Menor"),AND(H85="Media",L85="Moderado"),AND(H85="Alta",L85="Leve"),AND(H85="Alta",L85="Menor")),"Moderado",IF(OR(AND(H85="Muy Baja",L85="Mayor"),AND(H85="Baja",L85="Mayor"),AND(H85="Media",L85="Mayor"),AND(H85="Alta",L85="Moderado"),AND(H85="Alta",L85="Mayor"),AND(H85="Muy Alta",L85="Leve"),AND(H85="Muy Alta",L85="Menor"),AND(H85="Muy Alta",L85="Moderado"),AND(H85="Muy Alta",L85="Mayor")),"Alto",IF(OR(AND(H85="Muy Baja",L85="Catastrófico"),AND(H85="Baja",L85="Catastrófico"),AND(H85="Media",L85="Catastrófico"),AND(H85="Alta",L85="Catastrófico"),AND(H85="Muy Alta",L85="Catastrófico")),"Extremo",""))))</f>
        <v>Bajo</v>
      </c>
      <c r="O85" s="46">
        <v>1</v>
      </c>
      <c r="P85" s="55" t="s">
        <v>206</v>
      </c>
      <c r="Q85" s="35" t="str">
        <f>IF(OR(R85="Preventivo",R85="Detectivo"),"Probabilidad",IF(R85="Correctivo","Impacto",""))</f>
        <v>Probabilidad</v>
      </c>
      <c r="R85" s="36" t="s">
        <v>52</v>
      </c>
      <c r="S85" s="36" t="s">
        <v>68</v>
      </c>
      <c r="T85" s="37" t="str">
        <f>IF(AND(R85="Preventivo",S85="Automático"),"50%",IF(AND(R85="Preventivo",S85="Manual"),"40%",IF(AND(R85="Detectivo",S85="Automático"),"40%",IF(AND(R85="Detectivo",S85="Manual"),"30%",IF(AND(R85="Correctivo",S85="Automático"),"35%",IF(AND(R85="Correctivo",S85="Manual"),"25%",""))))))</f>
        <v>30%</v>
      </c>
      <c r="U85" s="36" t="s">
        <v>54</v>
      </c>
      <c r="V85" s="36" t="s">
        <v>55</v>
      </c>
      <c r="W85" s="36" t="s">
        <v>56</v>
      </c>
      <c r="X85" s="38">
        <f>IFERROR(IF(Q85="Probabilidad",(I85-(+I85*T85)),IF(Q85="Impacto",I85,"")),"")</f>
        <v>0.28000000000000003</v>
      </c>
      <c r="Y85" s="39" t="str">
        <f>IFERROR(IF(X85="","",IF(X85&lt;=0.2,"Muy Baja",IF(X85&lt;=0.4,"Baja",IF(X85&lt;=0.6,"Media",IF(X85&lt;=0.8,"Alta","Muy Alta"))))),"")</f>
        <v>Baja</v>
      </c>
      <c r="Z85" s="40">
        <f>+X85</f>
        <v>0.28000000000000003</v>
      </c>
      <c r="AA85" s="39" t="str">
        <f>IFERROR(IF(AB85="","",IF(AB85&lt;=0.2,"Leve",IF(AB85&lt;=0.4,"Menor",IF(AB85&lt;=0.6,"Moderado",IF(AB85&lt;=0.8,"Mayor","Catastrófico"))))),"")</f>
        <v>Leve</v>
      </c>
      <c r="AB85" s="40">
        <f>IFERROR(IF(Q85="Impacto",(M85-(+M85*T85)),IF(Q85="Probabilidad",M85,"")),"")</f>
        <v>0.2</v>
      </c>
      <c r="AC85" s="41" t="str">
        <f t="shared" si="106"/>
        <v>Bajo</v>
      </c>
      <c r="AD85" s="25" t="s">
        <v>82</v>
      </c>
      <c r="AE85" s="74"/>
      <c r="AF85" s="75"/>
      <c r="AG85" s="76"/>
      <c r="AH85" s="76"/>
      <c r="AI85" s="74"/>
      <c r="AJ85" s="75"/>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row>
    <row r="86" spans="1:68" ht="82.5" x14ac:dyDescent="0.3">
      <c r="A86" s="111"/>
      <c r="B86" s="59" t="s">
        <v>45</v>
      </c>
      <c r="C86" s="59" t="s">
        <v>207</v>
      </c>
      <c r="D86" s="59" t="s">
        <v>208</v>
      </c>
      <c r="E86" s="68" t="s">
        <v>209</v>
      </c>
      <c r="F86" s="59" t="s">
        <v>201</v>
      </c>
      <c r="G86" s="69">
        <v>365</v>
      </c>
      <c r="H86" s="66" t="str">
        <f>IF(G86&lt;=0,"",IF(G86&lt;=2,"Muy Baja",IF(G86&lt;=24,"Baja",IF(G86&lt;=500,"Media",IF(G86&lt;=5000,"Alta","Muy Alta")))))</f>
        <v>Media</v>
      </c>
      <c r="I86" s="45">
        <f>IF(H86="","",IF(H86="Muy Baja",0.2,IF(H86="Baja",0.4,IF(H86="Media",0.6,IF(H86="Alta",0.8,IF(H86="Muy Alta",1,))))))</f>
        <v>0.6</v>
      </c>
      <c r="J86" s="65" t="s">
        <v>100</v>
      </c>
      <c r="K86" s="45" t="str">
        <f>IF(NOT(ISERROR(MATCH(J86,'[8]Tabla Impacto'!$B$221:$B$223,0))),'[8]Tabla Impacto'!$F$223&amp;"Por favor no seleccionar los criterios de impacto(Afectación Económica o presupuestal y Pérdida Reputacional)",J86)</f>
        <v xml:space="preserve">     El riesgo afecta la imagen de la entidad con algunos usuarios de relevancia frente al logro de los objetivos</v>
      </c>
      <c r="L86" s="66" t="str">
        <f>IF(OR(K86='[8]Tabla Impacto'!$C$11,K86='[8]Tabla Impacto'!$D$11),"Leve",IF(OR(K86='[8]Tabla Impacto'!$C$12,K86='[8]Tabla Impacto'!$D$12),"Menor",IF(OR(K86='[8]Tabla Impacto'!$C$13,K86='[8]Tabla Impacto'!$D$13),"Moderado",IF(OR(K86='[8]Tabla Impacto'!$C$14,K86='[8]Tabla Impacto'!$D$14),"Mayor",IF(OR(K86='[8]Tabla Impacto'!$C$15,K86='[8]Tabla Impacto'!$D$15),"Catastrófico","")))))</f>
        <v>Moderado</v>
      </c>
      <c r="M86" s="45">
        <f>IF(L86="","",IF(L86="Leve",0.2,IF(L86="Menor",0.4,IF(L86="Moderado",0.6,IF(L86="Mayor",0.8,IF(L86="Catastrófico",1,))))))</f>
        <v>0.6</v>
      </c>
      <c r="N86" s="67" t="str">
        <f>IF(OR(AND(H86="Muy Baja",L86="Leve"),AND(H86="Muy Baja",L86="Menor"),AND(H86="Baja",L86="Leve")),"Bajo",IF(OR(AND(H86="Muy baja",L86="Moderado"),AND(H86="Baja",L86="Menor"),AND(H86="Baja",L86="Moderado"),AND(H86="Media",L86="Leve"),AND(H86="Media",L86="Menor"),AND(H86="Media",L86="Moderado"),AND(H86="Alta",L86="Leve"),AND(H86="Alta",L86="Menor")),"Moderado",IF(OR(AND(H86="Muy Baja",L86="Mayor"),AND(H86="Baja",L86="Mayor"),AND(H86="Media",L86="Mayor"),AND(H86="Alta",L86="Moderado"),AND(H86="Alta",L86="Mayor"),AND(H86="Muy Alta",L86="Leve"),AND(H86="Muy Alta",L86="Menor"),AND(H86="Muy Alta",L86="Moderado"),AND(H86="Muy Alta",L86="Mayor")),"Alto",IF(OR(AND(H86="Muy Baja",L86="Catastrófico"),AND(H86="Baja",L86="Catastrófico"),AND(H86="Media",L86="Catastrófico"),AND(H86="Alta",L86="Catastrófico"),AND(H86="Muy Alta",L86="Catastrófico")),"Extremo",""))))</f>
        <v>Moderado</v>
      </c>
      <c r="O86" s="46">
        <v>1</v>
      </c>
      <c r="P86" s="55" t="s">
        <v>210</v>
      </c>
      <c r="Q86" s="35" t="str">
        <f>IF(OR(R86="Preventivo",R86="Detectivo"),"Probabilidad",IF(R86="Correctivo","Impacto",""))</f>
        <v>Probabilidad</v>
      </c>
      <c r="R86" s="36" t="s">
        <v>81</v>
      </c>
      <c r="S86" s="36" t="s">
        <v>68</v>
      </c>
      <c r="T86" s="37" t="str">
        <f>IF(AND(R86="Preventivo",S86="Automático"),"50%",IF(AND(R86="Preventivo",S86="Manual"),"40%",IF(AND(R86="Detectivo",S86="Automático"),"40%",IF(AND(R86="Detectivo",S86="Manual"),"30%",IF(AND(R86="Correctivo",S86="Automático"),"35%",IF(AND(R86="Correctivo",S86="Manual"),"25%",""))))))</f>
        <v>40%</v>
      </c>
      <c r="U86" s="36" t="s">
        <v>54</v>
      </c>
      <c r="V86" s="36" t="s">
        <v>55</v>
      </c>
      <c r="W86" s="36" t="s">
        <v>56</v>
      </c>
      <c r="X86" s="38">
        <f>IFERROR(IF(Q86="Probabilidad",(I86-(+I86*T86)),IF(Q86="Impacto",I86,"")),"")</f>
        <v>0.36</v>
      </c>
      <c r="Y86" s="39" t="str">
        <f>IFERROR(IF(X86="","",IF(X86&lt;=0.2,"Muy Baja",IF(X86&lt;=0.4,"Baja",IF(X86&lt;=0.6,"Media",IF(X86&lt;=0.8,"Alta","Muy Alta"))))),"")</f>
        <v>Baja</v>
      </c>
      <c r="Z86" s="40">
        <f>+X86</f>
        <v>0.36</v>
      </c>
      <c r="AA86" s="39" t="str">
        <f>IFERROR(IF(AB86="","",IF(AB86&lt;=0.2,"Leve",IF(AB86&lt;=0.4,"Menor",IF(AB86&lt;=0.6,"Moderado",IF(AB86&lt;=0.8,"Mayor","Catastrófico"))))),"")</f>
        <v>Moderado</v>
      </c>
      <c r="AB86" s="40">
        <f>IFERROR(IF(Q86="Impacto",(M86-(+M86*T86)),IF(Q86="Probabilidad",M86,"")),"")</f>
        <v>0.6</v>
      </c>
      <c r="AC86" s="41" t="str">
        <f t="shared" si="106"/>
        <v>Moderado</v>
      </c>
      <c r="AD86" s="25" t="s">
        <v>82</v>
      </c>
      <c r="AE86" s="74"/>
      <c r="AF86" s="75"/>
      <c r="AG86" s="76"/>
      <c r="AH86" s="76"/>
      <c r="AI86" s="74"/>
      <c r="AJ86" s="75"/>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row>
    <row r="87" spans="1:68" s="32" customFormat="1" ht="87" customHeight="1" x14ac:dyDescent="0.25">
      <c r="A87" s="120" t="s">
        <v>252</v>
      </c>
      <c r="B87" s="122" t="s">
        <v>61</v>
      </c>
      <c r="C87" s="122" t="s">
        <v>212</v>
      </c>
      <c r="D87" s="122" t="s">
        <v>213</v>
      </c>
      <c r="E87" s="122" t="s">
        <v>214</v>
      </c>
      <c r="F87" s="122" t="s">
        <v>65</v>
      </c>
      <c r="G87" s="124">
        <f>5*12</f>
        <v>60</v>
      </c>
      <c r="H87" s="116" t="str">
        <f>IF(G87&lt;=0,"",IF(G87&lt;=2,"Muy Baja",IF(G87&lt;=24,"Baja",IF(G87&lt;=500,"Media",IF(G87&lt;=5000,"Alta","Muy Alta")))))</f>
        <v>Media</v>
      </c>
      <c r="I87" s="114">
        <f>IF(H87="","",IF(H87="Muy Baja",0.2,IF(H87="Baja",0.4,IF(H87="Media",0.6,IF(H87="Alta",0.8,IF(H87="Muy Alta",1,))))))</f>
        <v>0.6</v>
      </c>
      <c r="J87" s="112" t="s">
        <v>100</v>
      </c>
      <c r="K87" s="114" t="str">
        <f>IF(NOT(ISERROR(MATCH(J87,'[9]Tabla Impacto'!$B$221:$B$223,0))),'[9]Tabla Impacto'!$F$223&amp;"Por favor no seleccionar los criterios de impacto(Afectación Económica o presupuestal y Pérdida Reputacional)",J87)</f>
        <v xml:space="preserve">     El riesgo afecta la imagen de la entidad con algunos usuarios de relevancia frente al logro de los objetivos</v>
      </c>
      <c r="L87" s="116" t="str">
        <f>IF(OR(K87='[9]Tabla Impacto'!$C$11,K87='[9]Tabla Impacto'!$D$11),"Leve",IF(OR(K87='[9]Tabla Impacto'!$C$12,K87='[9]Tabla Impacto'!$D$12),"Menor",IF(OR(K87='[9]Tabla Impacto'!$C$13,K87='[9]Tabla Impacto'!$D$13),"Moderado",IF(OR(K87='[9]Tabla Impacto'!$C$14,K87='[9]Tabla Impacto'!$D$14),"Mayor",IF(OR(K87='[9]Tabla Impacto'!$C$15,K87='[9]Tabla Impacto'!$D$15),"Catastrófico","")))))</f>
        <v>Moderado</v>
      </c>
      <c r="M87" s="114">
        <f>IF(L87="","",IF(L87="Leve",0.2,IF(L87="Menor",0.4,IF(L87="Moderado",0.6,IF(L87="Mayor",0.8,IF(L87="Catastrófico",1,))))))</f>
        <v>0.6</v>
      </c>
      <c r="N87" s="118" t="str">
        <f>IF(OR(AND(H87="Muy Baja",L87="Leve"),AND(H87="Muy Baja",L87="Menor"),AND(H87="Baja",L87="Leve")),"Bajo",IF(OR(AND(H87="Muy baja",L87="Moderado"),AND(H87="Baja",L87="Menor"),AND(H87="Baja",L87="Moderado"),AND(H87="Media",L87="Leve"),AND(H87="Media",L87="Menor"),AND(H87="Media",L87="Moderado"),AND(H87="Alta",L87="Leve"),AND(H87="Alta",L87="Menor")),"Moderado",IF(OR(AND(H87="Muy Baja",L87="Mayor"),AND(H87="Baja",L87="Mayor"),AND(H87="Media",L87="Mayor"),AND(H87="Alta",L87="Moderado"),AND(H87="Alta",L87="Mayor"),AND(H87="Muy Alta",L87="Leve"),AND(H87="Muy Alta",L87="Menor"),AND(H87="Muy Alta",L87="Moderado"),AND(H87="Muy Alta",L87="Mayor")),"Alto",IF(OR(AND(H87="Muy Baja",L87="Catastrófico"),AND(H87="Baja",L87="Catastrófico"),AND(H87="Media",L87="Catastrófico"),AND(H87="Alta",L87="Catastrófico"),AND(H87="Muy Alta",L87="Catastrófico")),"Extremo",""))))</f>
        <v>Moderado</v>
      </c>
      <c r="O87" s="16">
        <v>1</v>
      </c>
      <c r="P87" s="17" t="s">
        <v>215</v>
      </c>
      <c r="Q87" s="18" t="str">
        <f t="shared" ref="Q87:Q94" si="107">IF(OR(R87="Preventivo",R87="Detectivo"),"Probabilidad",IF(R87="Correctivo","Impacto",""))</f>
        <v>Probabilidad</v>
      </c>
      <c r="R87" s="19" t="s">
        <v>81</v>
      </c>
      <c r="S87" s="19" t="s">
        <v>68</v>
      </c>
      <c r="T87" s="20" t="str">
        <f>IF(AND(R87="Preventivo",S87="Automático"),"50%",IF(AND(R87="Preventivo",S87="Manual"),"40%",IF(AND(R87="Detectivo",S87="Automático"),"40%",IF(AND(R87="Detectivo",S87="Manual"),"30%",IF(AND(R87="Correctivo",S87="Automático"),"35%",IF(AND(R87="Correctivo",S87="Manual"),"25%",""))))))</f>
        <v>40%</v>
      </c>
      <c r="U87" s="19" t="s">
        <v>54</v>
      </c>
      <c r="V87" s="19" t="s">
        <v>55</v>
      </c>
      <c r="W87" s="19" t="s">
        <v>56</v>
      </c>
      <c r="X87" s="21">
        <f>IFERROR(IF(Q87="Probabilidad",(I87-(+I87*T87)),IF(Q87="Impacto",I87,"")),"")</f>
        <v>0.36</v>
      </c>
      <c r="Y87" s="22" t="str">
        <f>IFERROR(IF(X87="","",IF(X87&lt;=0.2,"Muy Baja",IF(X87&lt;=0.4,"Baja",IF(X87&lt;=0.6,"Media",IF(X87&lt;=0.8,"Alta","Muy Alta"))))),"")</f>
        <v>Baja</v>
      </c>
      <c r="Z87" s="23">
        <f>+X87</f>
        <v>0.36</v>
      </c>
      <c r="AA87" s="22" t="str">
        <f>IFERROR(IF(AB87="","",IF(AB87&lt;=0.2,"Leve",IF(AB87&lt;=0.4,"Menor",IF(AB87&lt;=0.6,"Moderado",IF(AB87&lt;=0.8,"Mayor","Catastrófico"))))),"")</f>
        <v>Moderado</v>
      </c>
      <c r="AB87" s="23">
        <f>IFERROR(IF(Q87="Impacto",(M87-(+M87*T87)),IF(Q87="Probabilidad",M87,"")),"")</f>
        <v>0.6</v>
      </c>
      <c r="AC87" s="24" t="str">
        <f t="shared" si="106"/>
        <v>Moderado</v>
      </c>
      <c r="AD87" s="25" t="s">
        <v>57</v>
      </c>
      <c r="AE87" s="26" t="s">
        <v>216</v>
      </c>
      <c r="AF87" s="26" t="s">
        <v>217</v>
      </c>
      <c r="AG87" s="27">
        <v>41550</v>
      </c>
      <c r="AH87" s="78"/>
      <c r="AI87" s="78"/>
      <c r="AJ87" s="30" t="s">
        <v>60</v>
      </c>
      <c r="AK87" s="31"/>
      <c r="AL87" s="31"/>
      <c r="AM87" s="31"/>
      <c r="AN87" s="31"/>
      <c r="AO87" s="31"/>
      <c r="AP87" s="31"/>
      <c r="AQ87" s="31"/>
      <c r="AR87" s="31"/>
      <c r="AS87" s="31"/>
      <c r="AT87" s="31"/>
      <c r="AU87" s="31"/>
      <c r="AV87" s="31"/>
      <c r="AW87" s="31"/>
      <c r="AX87" s="31"/>
      <c r="AY87" s="31"/>
      <c r="AZ87" s="31"/>
      <c r="BA87" s="31"/>
      <c r="BB87" s="31"/>
      <c r="BC87" s="31"/>
      <c r="BD87" s="31"/>
      <c r="BE87" s="31"/>
      <c r="BF87" s="31"/>
      <c r="BG87" s="31"/>
      <c r="BH87" s="31"/>
      <c r="BI87" s="31"/>
      <c r="BJ87" s="31"/>
      <c r="BK87" s="31"/>
      <c r="BL87" s="31"/>
      <c r="BM87" s="31"/>
      <c r="BN87" s="31"/>
      <c r="BO87" s="31"/>
      <c r="BP87" s="31"/>
    </row>
    <row r="88" spans="1:68" ht="87" customHeight="1" x14ac:dyDescent="0.3">
      <c r="A88" s="121"/>
      <c r="B88" s="123"/>
      <c r="C88" s="123"/>
      <c r="D88" s="123"/>
      <c r="E88" s="123"/>
      <c r="F88" s="123"/>
      <c r="G88" s="125"/>
      <c r="H88" s="117"/>
      <c r="I88" s="115"/>
      <c r="J88" s="113"/>
      <c r="K88" s="115">
        <f>IF(NOT(ISERROR(MATCH(J88,_xlfn.ANCHORARRAY(E90),0))),#REF!&amp;"Por favor no seleccionar los criterios de impacto",J88)</f>
        <v>0</v>
      </c>
      <c r="L88" s="117"/>
      <c r="M88" s="115"/>
      <c r="N88" s="119"/>
      <c r="O88" s="16">
        <v>2</v>
      </c>
      <c r="P88" s="17" t="s">
        <v>218</v>
      </c>
      <c r="Q88" s="18" t="str">
        <f t="shared" si="107"/>
        <v>Probabilidad</v>
      </c>
      <c r="R88" s="19" t="s">
        <v>81</v>
      </c>
      <c r="S88" s="19" t="s">
        <v>68</v>
      </c>
      <c r="T88" s="20" t="str">
        <f t="shared" ref="T88:T94" si="108">IF(AND(R88="Preventivo",S88="Automático"),"50%",IF(AND(R88="Preventivo",S88="Manual"),"40%",IF(AND(R88="Detectivo",S88="Automático"),"40%",IF(AND(R88="Detectivo",S88="Manual"),"30%",IF(AND(R88="Correctivo",S88="Automático"),"35%",IF(AND(R88="Correctivo",S88="Manual"),"25%",""))))))</f>
        <v>40%</v>
      </c>
      <c r="U88" s="19" t="s">
        <v>54</v>
      </c>
      <c r="V88" s="19" t="s">
        <v>55</v>
      </c>
      <c r="W88" s="19" t="s">
        <v>56</v>
      </c>
      <c r="X88" s="21">
        <f>IFERROR(IF(AND(Q87="Probabilidad",Q88="Probabilidad"),(Z87-(+Z87*T88)),IF(Q88="Probabilidad",(I87-(+I87*T88)),IF(Q88="Impacto",Z87,""))),"")</f>
        <v>0.216</v>
      </c>
      <c r="Y88" s="22" t="str">
        <f t="shared" ref="Y88:Y94" si="109">IFERROR(IF(X88="","",IF(X88&lt;=0.2,"Muy Baja",IF(X88&lt;=0.4,"Baja",IF(X88&lt;=0.6,"Media",IF(X88&lt;=0.8,"Alta","Muy Alta"))))),"")</f>
        <v>Baja</v>
      </c>
      <c r="Z88" s="23">
        <f t="shared" ref="Z88:Z94" si="110">+X88</f>
        <v>0.216</v>
      </c>
      <c r="AA88" s="22" t="str">
        <f t="shared" ref="AA88:AA94" si="111">IFERROR(IF(AB88="","",IF(AB88&lt;=0.2,"Leve",IF(AB88&lt;=0.4,"Menor",IF(AB88&lt;=0.6,"Moderado",IF(AB88&lt;=0.8,"Mayor","Catastrófico"))))),"")</f>
        <v>Moderado</v>
      </c>
      <c r="AB88" s="23">
        <f>IFERROR(IF(AND(Q87="Impacto",Q88="Impacto"),(AB87-(+AB87*T88)),IF(Q88="Impacto",(M87-(+M87*T88)),IF(Q88="Probabilidad",AB87,""))),"")</f>
        <v>0.6</v>
      </c>
      <c r="AC88" s="24" t="str">
        <f t="shared" ref="AC88:AC94" si="112">IFERROR(IF(OR(AND(Y88="Muy Baja",AA88="Leve"),AND(Y88="Muy Baja",AA88="Menor"),AND(Y88="Baja",AA88="Leve")),"Bajo",IF(OR(AND(Y88="Muy baja",AA88="Moderado"),AND(Y88="Baja",AA88="Menor"),AND(Y88="Baja",AA88="Moderado"),AND(Y88="Media",AA88="Leve"),AND(Y88="Media",AA88="Menor"),AND(Y88="Media",AA88="Moderado"),AND(Y88="Alta",AA88="Leve"),AND(Y88="Alta",AA88="Menor")),"Moderado",IF(OR(AND(Y88="Muy Baja",AA88="Mayor"),AND(Y88="Baja",AA88="Mayor"),AND(Y88="Media",AA88="Mayor"),AND(Y88="Alta",AA88="Moderado"),AND(Y88="Alta",AA88="Mayor"),AND(Y88="Muy Alta",AA88="Leve"),AND(Y88="Muy Alta",AA88="Menor"),AND(Y88="Muy Alta",AA88="Moderado"),AND(Y88="Muy Alta",AA88="Mayor")),"Alto",IF(OR(AND(Y88="Muy Baja",AA88="Catastrófico"),AND(Y88="Baja",AA88="Catastrófico"),AND(Y88="Media",AA88="Catastrófico"),AND(Y88="Alta",AA88="Catastrófico"),AND(Y88="Muy Alta",AA88="Catastrófico")),"Extremo","")))),"")</f>
        <v>Moderado</v>
      </c>
      <c r="AD88" s="33" t="s">
        <v>57</v>
      </c>
      <c r="AE88" s="26" t="s">
        <v>219</v>
      </c>
      <c r="AF88" s="26" t="s">
        <v>217</v>
      </c>
      <c r="AG88" s="27">
        <v>41550</v>
      </c>
      <c r="AH88" s="28"/>
      <c r="AI88" s="29"/>
      <c r="AJ88" s="30" t="s">
        <v>60</v>
      </c>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row>
    <row r="89" spans="1:68" ht="58.5" customHeight="1" x14ac:dyDescent="0.3">
      <c r="A89" s="121"/>
      <c r="B89" s="9" t="s">
        <v>103</v>
      </c>
      <c r="C89" s="9" t="s">
        <v>220</v>
      </c>
      <c r="D89" s="9" t="s">
        <v>221</v>
      </c>
      <c r="E89" s="44" t="s">
        <v>222</v>
      </c>
      <c r="F89" s="9" t="s">
        <v>65</v>
      </c>
      <c r="G89" s="11">
        <f>1*12</f>
        <v>12</v>
      </c>
      <c r="H89" s="12" t="str">
        <f t="shared" ref="H89:H94" si="113">IF(G89&lt;=0,"",IF(G89&lt;=2,"Muy Baja",IF(G89&lt;=24,"Baja",IF(G89&lt;=500,"Media",IF(G89&lt;=5000,"Alta","Muy Alta")))))</f>
        <v>Baja</v>
      </c>
      <c r="I89" s="13">
        <f t="shared" ref="I89:I94" si="114">IF(H89="","",IF(H89="Muy Baja",0.2,IF(H89="Baja",0.4,IF(H89="Media",0.6,IF(H89="Alta",0.8,IF(H89="Muy Alta",1,))))))</f>
        <v>0.4</v>
      </c>
      <c r="J89" s="14" t="s">
        <v>100</v>
      </c>
      <c r="K89" s="45" t="str">
        <f>IF(NOT(ISERROR(MATCH(J89,'[9]Tabla Impacto'!$B$221:$B$223,0))),'[9]Tabla Impacto'!$F$223&amp;"Por favor no seleccionar los criterios de impacto(Afectación Económica o presupuestal y Pérdida Reputacional)",J89)</f>
        <v xml:space="preserve">     El riesgo afecta la imagen de la entidad con algunos usuarios de relevancia frente al logro de los objetivos</v>
      </c>
      <c r="L89" s="12" t="str">
        <f>IF(OR(K89='[9]Tabla Impacto'!$C$11,K89='[9]Tabla Impacto'!$D$11),"Leve",IF(OR(K89='[9]Tabla Impacto'!$C$12,K89='[9]Tabla Impacto'!$D$12),"Menor",IF(OR(K89='[9]Tabla Impacto'!$C$13,K89='[9]Tabla Impacto'!$D$13),"Moderado",IF(OR(K89='[9]Tabla Impacto'!$C$14,K89='[9]Tabla Impacto'!$D$14),"Mayor",IF(OR(K89='[9]Tabla Impacto'!$C$15,K89='[9]Tabla Impacto'!$D$15),"Catastrófico","")))))</f>
        <v>Moderado</v>
      </c>
      <c r="M89" s="13">
        <f t="shared" ref="M89:M94" si="115">IF(L89="","",IF(L89="Leve",0.2,IF(L89="Menor",0.4,IF(L89="Moderado",0.6,IF(L89="Mayor",0.8,IF(L89="Catastrófico",1,))))))</f>
        <v>0.6</v>
      </c>
      <c r="N89" s="15" t="str">
        <f t="shared" ref="N89:N94" si="116">IF(OR(AND(H89="Muy Baja",L89="Leve"),AND(H89="Muy Baja",L89="Menor"),AND(H89="Baja",L89="Leve")),"Bajo",IF(OR(AND(H89="Muy baja",L89="Moderado"),AND(H89="Baja",L89="Menor"),AND(H89="Baja",L89="Moderado"),AND(H89="Media",L89="Leve"),AND(H89="Media",L89="Menor"),AND(H89="Media",L89="Moderado"),AND(H89="Alta",L89="Leve"),AND(H89="Alta",L89="Menor")),"Moderado",IF(OR(AND(H89="Muy Baja",L89="Mayor"),AND(H89="Baja",L89="Mayor"),AND(H89="Media",L89="Mayor"),AND(H89="Alta",L89="Moderado"),AND(H89="Alta",L89="Mayor"),AND(H89="Muy Alta",L89="Leve"),AND(H89="Muy Alta",L89="Menor"),AND(H89="Muy Alta",L89="Moderado"),AND(H89="Muy Alta",L89="Mayor")),"Alto",IF(OR(AND(H89="Muy Baja",L89="Catastrófico"),AND(H89="Baja",L89="Catastrófico"),AND(H89="Media",L89="Catastrófico"),AND(H89="Alta",L89="Catastrófico"),AND(H89="Muy Alta",L89="Catastrófico")),"Extremo",""))))</f>
        <v>Moderado</v>
      </c>
      <c r="O89" s="46">
        <v>1</v>
      </c>
      <c r="P89" s="17" t="s">
        <v>223</v>
      </c>
      <c r="Q89" s="18" t="str">
        <f t="shared" si="107"/>
        <v>Probabilidad</v>
      </c>
      <c r="R89" s="19" t="s">
        <v>81</v>
      </c>
      <c r="S89" s="19" t="s">
        <v>68</v>
      </c>
      <c r="T89" s="20" t="str">
        <f t="shared" si="108"/>
        <v>40%</v>
      </c>
      <c r="U89" s="19" t="s">
        <v>54</v>
      </c>
      <c r="V89" s="19" t="s">
        <v>70</v>
      </c>
      <c r="W89" s="19" t="s">
        <v>56</v>
      </c>
      <c r="X89" s="38">
        <f t="shared" ref="X89:X94" si="117">IFERROR(IF(Q89="Probabilidad",(I89-(+I89*T89)),IF(Q89="Impacto",I89,"")),"")</f>
        <v>0.24</v>
      </c>
      <c r="Y89" s="22" t="str">
        <f t="shared" si="109"/>
        <v>Baja</v>
      </c>
      <c r="Z89" s="23">
        <f t="shared" si="110"/>
        <v>0.24</v>
      </c>
      <c r="AA89" s="22" t="str">
        <f t="shared" si="111"/>
        <v>Moderado</v>
      </c>
      <c r="AB89" s="23">
        <f t="shared" ref="AB89:AB94" si="118">IFERROR(IF(Q89="Impacto",(M89-(+M89*T89)),IF(Q89="Probabilidad",M89,"")),"")</f>
        <v>0.6</v>
      </c>
      <c r="AC89" s="24" t="str">
        <f t="shared" si="112"/>
        <v>Moderado</v>
      </c>
      <c r="AD89" s="33" t="s">
        <v>82</v>
      </c>
      <c r="AE89" s="47" t="s">
        <v>224</v>
      </c>
      <c r="AF89" s="26" t="s">
        <v>217</v>
      </c>
      <c r="AG89" s="27">
        <v>41550</v>
      </c>
      <c r="AH89" s="48"/>
      <c r="AI89" s="79"/>
      <c r="AJ89" s="50" t="s">
        <v>60</v>
      </c>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row>
    <row r="90" spans="1:68" ht="145.5" customHeight="1" x14ac:dyDescent="0.3">
      <c r="A90" s="121"/>
      <c r="B90" s="9" t="s">
        <v>45</v>
      </c>
      <c r="C90" s="9" t="s">
        <v>225</v>
      </c>
      <c r="D90" s="9" t="s">
        <v>226</v>
      </c>
      <c r="E90" s="10" t="s">
        <v>227</v>
      </c>
      <c r="F90" s="9" t="s">
        <v>49</v>
      </c>
      <c r="G90" s="11">
        <f>1*12</f>
        <v>12</v>
      </c>
      <c r="H90" s="12" t="str">
        <f t="shared" si="113"/>
        <v>Baja</v>
      </c>
      <c r="I90" s="13">
        <f t="shared" si="114"/>
        <v>0.4</v>
      </c>
      <c r="J90" s="14" t="s">
        <v>196</v>
      </c>
      <c r="K90" s="45" t="str">
        <f>IF(NOT(ISERROR(MATCH(J90,'[9]Tabla Impacto'!$B$221:$B$223,0))),'[9]Tabla Impacto'!$F$223&amp;"Por favor no seleccionar los criterios de impacto(Afectación Económica o presupuestal y Pérdida Reputacional)",J90)</f>
        <v xml:space="preserve">     El riesgo afecta la imagen de alguna área de la organización</v>
      </c>
      <c r="L90" s="12" t="str">
        <f>IF(OR(K90='[9]Tabla Impacto'!$C$11,K90='[9]Tabla Impacto'!$D$11),"Leve",IF(OR(K90='[9]Tabla Impacto'!$C$12,K90='[9]Tabla Impacto'!$D$12),"Menor",IF(OR(K90='[9]Tabla Impacto'!$C$13,K90='[9]Tabla Impacto'!$D$13),"Moderado",IF(OR(K90='[9]Tabla Impacto'!$C$14,K90='[9]Tabla Impacto'!$D$14),"Mayor",IF(OR(K90='[9]Tabla Impacto'!$C$15,K90='[9]Tabla Impacto'!$D$15),"Catastrófico","")))))</f>
        <v>Leve</v>
      </c>
      <c r="M90" s="13">
        <f t="shared" si="115"/>
        <v>0.2</v>
      </c>
      <c r="N90" s="15" t="str">
        <f t="shared" si="116"/>
        <v>Bajo</v>
      </c>
      <c r="O90" s="16">
        <v>1</v>
      </c>
      <c r="P90" s="17" t="s">
        <v>228</v>
      </c>
      <c r="Q90" s="18" t="str">
        <f t="shared" si="107"/>
        <v>Probabilidad</v>
      </c>
      <c r="R90" s="19" t="s">
        <v>52</v>
      </c>
      <c r="S90" s="19" t="s">
        <v>68</v>
      </c>
      <c r="T90" s="20" t="str">
        <f t="shared" si="108"/>
        <v>30%</v>
      </c>
      <c r="U90" s="19" t="s">
        <v>54</v>
      </c>
      <c r="V90" s="19" t="s">
        <v>70</v>
      </c>
      <c r="W90" s="19" t="s">
        <v>56</v>
      </c>
      <c r="X90" s="21">
        <f t="shared" si="117"/>
        <v>0.28000000000000003</v>
      </c>
      <c r="Y90" s="22" t="str">
        <f t="shared" si="109"/>
        <v>Baja</v>
      </c>
      <c r="Z90" s="23">
        <f t="shared" si="110"/>
        <v>0.28000000000000003</v>
      </c>
      <c r="AA90" s="22" t="str">
        <f t="shared" si="111"/>
        <v>Leve</v>
      </c>
      <c r="AB90" s="23">
        <f t="shared" si="118"/>
        <v>0.2</v>
      </c>
      <c r="AC90" s="24" t="str">
        <f t="shared" si="112"/>
        <v>Bajo</v>
      </c>
      <c r="AD90" s="33" t="s">
        <v>57</v>
      </c>
      <c r="AE90" s="26" t="s">
        <v>229</v>
      </c>
      <c r="AF90" s="26" t="s">
        <v>230</v>
      </c>
      <c r="AG90" s="27">
        <v>41550</v>
      </c>
      <c r="AH90" s="56"/>
      <c r="AI90" s="29"/>
      <c r="AJ90" s="30" t="s">
        <v>60</v>
      </c>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row>
    <row r="91" spans="1:68" ht="114.75" customHeight="1" x14ac:dyDescent="0.3">
      <c r="A91" s="121"/>
      <c r="B91" s="9" t="s">
        <v>61</v>
      </c>
      <c r="C91" s="9" t="s">
        <v>231</v>
      </c>
      <c r="D91" s="9" t="s">
        <v>232</v>
      </c>
      <c r="E91" s="10" t="s">
        <v>233</v>
      </c>
      <c r="F91" s="9" t="s">
        <v>65</v>
      </c>
      <c r="G91" s="11">
        <v>2</v>
      </c>
      <c r="H91" s="12" t="str">
        <f t="shared" si="113"/>
        <v>Muy Baja</v>
      </c>
      <c r="I91" s="13">
        <f t="shared" si="114"/>
        <v>0.2</v>
      </c>
      <c r="J91" s="14" t="s">
        <v>196</v>
      </c>
      <c r="K91" s="45" t="str">
        <f>IF(NOT(ISERROR(MATCH(J91,'[9]Tabla Impacto'!$B$221:$B$223,0))),'[9]Tabla Impacto'!$F$223&amp;"Por favor no seleccionar los criterios de impacto(Afectación Económica o presupuestal y Pérdida Reputacional)",J91)</f>
        <v xml:space="preserve">     El riesgo afecta la imagen de alguna área de la organización</v>
      </c>
      <c r="L91" s="12" t="str">
        <f>IF(OR(K91='[9]Tabla Impacto'!$C$11,K91='[9]Tabla Impacto'!$D$11),"Leve",IF(OR(K91='[9]Tabla Impacto'!$C$12,K91='[9]Tabla Impacto'!$D$12),"Menor",IF(OR(K91='[9]Tabla Impacto'!$C$13,K91='[9]Tabla Impacto'!$D$13),"Moderado",IF(OR(K91='[9]Tabla Impacto'!$C$14,K91='[9]Tabla Impacto'!$D$14),"Mayor",IF(OR(K91='[9]Tabla Impacto'!$C$15,K91='[9]Tabla Impacto'!$D$15),"Catastrófico","")))))</f>
        <v>Leve</v>
      </c>
      <c r="M91" s="13">
        <f t="shared" si="115"/>
        <v>0.2</v>
      </c>
      <c r="N91" s="15" t="str">
        <f t="shared" si="116"/>
        <v>Bajo</v>
      </c>
      <c r="O91" s="46">
        <v>1</v>
      </c>
      <c r="P91" s="55" t="s">
        <v>234</v>
      </c>
      <c r="Q91" s="18" t="str">
        <f t="shared" si="107"/>
        <v>Impacto</v>
      </c>
      <c r="R91" s="19" t="s">
        <v>152</v>
      </c>
      <c r="S91" s="19" t="s">
        <v>68</v>
      </c>
      <c r="T91" s="20" t="str">
        <f t="shared" si="108"/>
        <v>25%</v>
      </c>
      <c r="U91" s="19" t="s">
        <v>54</v>
      </c>
      <c r="V91" s="19" t="s">
        <v>70</v>
      </c>
      <c r="W91" s="19" t="s">
        <v>56</v>
      </c>
      <c r="X91" s="21">
        <f t="shared" si="117"/>
        <v>0.2</v>
      </c>
      <c r="Y91" s="22" t="str">
        <f t="shared" si="109"/>
        <v>Muy Baja</v>
      </c>
      <c r="Z91" s="23">
        <f t="shared" si="110"/>
        <v>0.2</v>
      </c>
      <c r="AA91" s="22" t="str">
        <f t="shared" si="111"/>
        <v>Leve</v>
      </c>
      <c r="AB91" s="23">
        <f t="shared" si="118"/>
        <v>0.15000000000000002</v>
      </c>
      <c r="AC91" s="24" t="str">
        <f t="shared" si="112"/>
        <v>Bajo</v>
      </c>
      <c r="AD91" s="33" t="s">
        <v>57</v>
      </c>
      <c r="AE91" s="29" t="s">
        <v>235</v>
      </c>
      <c r="AF91" s="26" t="s">
        <v>236</v>
      </c>
      <c r="AG91" s="56">
        <v>41550</v>
      </c>
      <c r="AH91" s="27"/>
      <c r="AI91" s="29"/>
      <c r="AJ91" s="30" t="s">
        <v>60</v>
      </c>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row>
    <row r="92" spans="1:68" ht="147" customHeight="1" x14ac:dyDescent="0.3">
      <c r="A92" s="121"/>
      <c r="B92" s="9" t="s">
        <v>45</v>
      </c>
      <c r="C92" s="9" t="s">
        <v>237</v>
      </c>
      <c r="D92" s="9" t="s">
        <v>238</v>
      </c>
      <c r="E92" s="10" t="s">
        <v>239</v>
      </c>
      <c r="F92" s="9" t="s">
        <v>201</v>
      </c>
      <c r="G92" s="11">
        <v>3</v>
      </c>
      <c r="H92" s="12" t="str">
        <f t="shared" si="113"/>
        <v>Baja</v>
      </c>
      <c r="I92" s="13">
        <f t="shared" si="114"/>
        <v>0.4</v>
      </c>
      <c r="J92" s="14" t="s">
        <v>100</v>
      </c>
      <c r="K92" s="45" t="str">
        <f>IF(NOT(ISERROR(MATCH(J92,'[9]Tabla Impacto'!$B$221:$B$223,0))),'[9]Tabla Impacto'!$F$223&amp;"Por favor no seleccionar los criterios de impacto(Afectación Económica o presupuestal y Pérdida Reputacional)",J92)</f>
        <v xml:space="preserve">     El riesgo afecta la imagen de la entidad con algunos usuarios de relevancia frente al logro de los objetivos</v>
      </c>
      <c r="L92" s="12" t="str">
        <f>IF(OR(K92='[9]Tabla Impacto'!$C$11,K92='[9]Tabla Impacto'!$D$11),"Leve",IF(OR(K92='[9]Tabla Impacto'!$C$12,K92='[9]Tabla Impacto'!$D$12),"Menor",IF(OR(K92='[9]Tabla Impacto'!$C$13,K92='[9]Tabla Impacto'!$D$13),"Moderado",IF(OR(K92='[9]Tabla Impacto'!$C$14,K92='[9]Tabla Impacto'!$D$14),"Mayor",IF(OR(K92='[9]Tabla Impacto'!$C$15,K92='[9]Tabla Impacto'!$D$15),"Catastrófico","")))))</f>
        <v>Moderado</v>
      </c>
      <c r="M92" s="13">
        <f t="shared" si="115"/>
        <v>0.6</v>
      </c>
      <c r="N92" s="15" t="str">
        <f t="shared" si="116"/>
        <v>Moderado</v>
      </c>
      <c r="O92" s="46">
        <v>1</v>
      </c>
      <c r="P92" s="17" t="s">
        <v>240</v>
      </c>
      <c r="Q92" s="18" t="str">
        <f t="shared" si="107"/>
        <v>Probabilidad</v>
      </c>
      <c r="R92" s="19" t="s">
        <v>81</v>
      </c>
      <c r="S92" s="19" t="s">
        <v>68</v>
      </c>
      <c r="T92" s="20" t="str">
        <f t="shared" si="108"/>
        <v>40%</v>
      </c>
      <c r="U92" s="19" t="s">
        <v>54</v>
      </c>
      <c r="V92" s="19" t="s">
        <v>70</v>
      </c>
      <c r="W92" s="19" t="s">
        <v>56</v>
      </c>
      <c r="X92" s="21">
        <f t="shared" si="117"/>
        <v>0.24</v>
      </c>
      <c r="Y92" s="22" t="str">
        <f t="shared" si="109"/>
        <v>Baja</v>
      </c>
      <c r="Z92" s="23">
        <f t="shared" si="110"/>
        <v>0.24</v>
      </c>
      <c r="AA92" s="22" t="str">
        <f t="shared" si="111"/>
        <v>Moderado</v>
      </c>
      <c r="AB92" s="23">
        <f t="shared" si="118"/>
        <v>0.6</v>
      </c>
      <c r="AC92" s="24" t="str">
        <f t="shared" si="112"/>
        <v>Moderado</v>
      </c>
      <c r="AD92" s="33" t="s">
        <v>57</v>
      </c>
      <c r="AE92" s="26" t="s">
        <v>241</v>
      </c>
      <c r="AF92" s="26" t="s">
        <v>242</v>
      </c>
      <c r="AG92" s="56">
        <v>41550</v>
      </c>
      <c r="AH92" s="27"/>
      <c r="AI92" s="29"/>
      <c r="AJ92" s="30" t="s">
        <v>60</v>
      </c>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row>
    <row r="93" spans="1:68" ht="87.75" customHeight="1" x14ac:dyDescent="0.3">
      <c r="A93" s="121"/>
      <c r="B93" s="9" t="s">
        <v>45</v>
      </c>
      <c r="C93" s="9" t="s">
        <v>243</v>
      </c>
      <c r="D93" s="9" t="s">
        <v>244</v>
      </c>
      <c r="E93" s="10" t="s">
        <v>245</v>
      </c>
      <c r="F93" s="9" t="s">
        <v>49</v>
      </c>
      <c r="G93" s="11">
        <v>1</v>
      </c>
      <c r="H93" s="12" t="str">
        <f t="shared" si="113"/>
        <v>Muy Baja</v>
      </c>
      <c r="I93" s="13">
        <f t="shared" si="114"/>
        <v>0.2</v>
      </c>
      <c r="J93" s="14" t="s">
        <v>196</v>
      </c>
      <c r="K93" s="13" t="str">
        <f>IF(NOT(ISERROR(MATCH(J93,'[9]Tabla Impacto'!$B$221:$B$223,0))),'[9]Tabla Impacto'!$F$223&amp;"Por favor no seleccionar los criterios de impacto(Afectación Económica o presupuestal y Pérdida Reputacional)",J93)</f>
        <v xml:space="preserve">     El riesgo afecta la imagen de alguna área de la organización</v>
      </c>
      <c r="L93" s="12" t="str">
        <f>IF(OR(K93='[9]Tabla Impacto'!$C$11,K93='[9]Tabla Impacto'!$D$11),"Leve",IF(OR(K93='[9]Tabla Impacto'!$C$12,K93='[9]Tabla Impacto'!$D$12),"Menor",IF(OR(K93='[9]Tabla Impacto'!$C$13,K93='[9]Tabla Impacto'!$D$13),"Moderado",IF(OR(K93='[9]Tabla Impacto'!$C$14,K93='[9]Tabla Impacto'!$D$14),"Mayor",IF(OR(K93='[9]Tabla Impacto'!$C$15,K93='[9]Tabla Impacto'!$D$15),"Catastrófico","")))))</f>
        <v>Leve</v>
      </c>
      <c r="M93" s="13">
        <f t="shared" si="115"/>
        <v>0.2</v>
      </c>
      <c r="N93" s="15" t="str">
        <f t="shared" si="116"/>
        <v>Bajo</v>
      </c>
      <c r="O93" s="16">
        <v>1</v>
      </c>
      <c r="P93" s="55" t="s">
        <v>246</v>
      </c>
      <c r="Q93" s="35" t="str">
        <f t="shared" si="107"/>
        <v>Probabilidad</v>
      </c>
      <c r="R93" s="36" t="s">
        <v>81</v>
      </c>
      <c r="S93" s="36" t="s">
        <v>68</v>
      </c>
      <c r="T93" s="37" t="str">
        <f t="shared" si="108"/>
        <v>40%</v>
      </c>
      <c r="U93" s="36" t="s">
        <v>54</v>
      </c>
      <c r="V93" s="36" t="s">
        <v>70</v>
      </c>
      <c r="W93" s="36" t="s">
        <v>56</v>
      </c>
      <c r="X93" s="38">
        <f t="shared" si="117"/>
        <v>0.12</v>
      </c>
      <c r="Y93" s="39" t="str">
        <f t="shared" si="109"/>
        <v>Muy Baja</v>
      </c>
      <c r="Z93" s="40">
        <f t="shared" si="110"/>
        <v>0.12</v>
      </c>
      <c r="AA93" s="39" t="str">
        <f t="shared" si="111"/>
        <v>Leve</v>
      </c>
      <c r="AB93" s="40">
        <f t="shared" si="118"/>
        <v>0.2</v>
      </c>
      <c r="AC93" s="41" t="str">
        <f t="shared" si="112"/>
        <v>Bajo</v>
      </c>
      <c r="AD93" s="25" t="s">
        <v>57</v>
      </c>
      <c r="AE93" s="29" t="s">
        <v>247</v>
      </c>
      <c r="AF93" s="26" t="s">
        <v>242</v>
      </c>
      <c r="AG93" s="56">
        <v>41550</v>
      </c>
      <c r="AH93" s="43"/>
      <c r="AI93" s="29"/>
      <c r="AJ93" s="42" t="s">
        <v>60</v>
      </c>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row>
    <row r="94" spans="1:68" s="32" customFormat="1" ht="151.5" customHeight="1" x14ac:dyDescent="0.25">
      <c r="A94" s="121"/>
      <c r="B94" s="9" t="s">
        <v>45</v>
      </c>
      <c r="C94" s="9" t="s">
        <v>248</v>
      </c>
      <c r="D94" s="9" t="s">
        <v>249</v>
      </c>
      <c r="E94" s="10" t="s">
        <v>250</v>
      </c>
      <c r="F94" s="9" t="s">
        <v>49</v>
      </c>
      <c r="G94" s="11">
        <v>1</v>
      </c>
      <c r="H94" s="12" t="str">
        <f t="shared" si="113"/>
        <v>Muy Baja</v>
      </c>
      <c r="I94" s="13">
        <f t="shared" si="114"/>
        <v>0.2</v>
      </c>
      <c r="J94" s="14" t="s">
        <v>196</v>
      </c>
      <c r="K94" s="13" t="str">
        <f>IF(NOT(ISERROR(MATCH(J94,'[9]Tabla Impacto'!$B$221:$B$223,0))),'[9]Tabla Impacto'!$F$223&amp;"Por favor no seleccionar los criterios de impacto(Afectación Económica o presupuestal y Pérdida Reputacional)",J94)</f>
        <v xml:space="preserve">     El riesgo afecta la imagen de alguna área de la organización</v>
      </c>
      <c r="L94" s="12" t="str">
        <f>IF(OR(K94='[9]Tabla Impacto'!$C$11,K94='[9]Tabla Impacto'!$D$11),"Leve",IF(OR(K94='[9]Tabla Impacto'!$C$12,K94='[9]Tabla Impacto'!$D$12),"Menor",IF(OR(K94='[9]Tabla Impacto'!$C$13,K94='[9]Tabla Impacto'!$D$13),"Moderado",IF(OR(K94='[9]Tabla Impacto'!$C$14,K94='[9]Tabla Impacto'!$D$14),"Mayor",IF(OR(K94='[9]Tabla Impacto'!$C$15,K94='[9]Tabla Impacto'!$D$15),"Catastrófico","")))))</f>
        <v>Leve</v>
      </c>
      <c r="M94" s="13">
        <f t="shared" si="115"/>
        <v>0.2</v>
      </c>
      <c r="N94" s="15" t="str">
        <f t="shared" si="116"/>
        <v>Bajo</v>
      </c>
      <c r="O94" s="16">
        <v>1</v>
      </c>
      <c r="P94" s="80" t="s">
        <v>251</v>
      </c>
      <c r="Q94" s="18" t="str">
        <f t="shared" si="107"/>
        <v>Probabilidad</v>
      </c>
      <c r="R94" s="19" t="s">
        <v>81</v>
      </c>
      <c r="S94" s="19" t="s">
        <v>68</v>
      </c>
      <c r="T94" s="20" t="str">
        <f t="shared" si="108"/>
        <v>40%</v>
      </c>
      <c r="U94" s="19" t="s">
        <v>54</v>
      </c>
      <c r="V94" s="19" t="s">
        <v>70</v>
      </c>
      <c r="W94" s="19" t="s">
        <v>56</v>
      </c>
      <c r="X94" s="21">
        <f t="shared" si="117"/>
        <v>0.12</v>
      </c>
      <c r="Y94" s="22" t="str">
        <f t="shared" si="109"/>
        <v>Muy Baja</v>
      </c>
      <c r="Z94" s="23">
        <f t="shared" si="110"/>
        <v>0.12</v>
      </c>
      <c r="AA94" s="22" t="str">
        <f t="shared" si="111"/>
        <v>Leve</v>
      </c>
      <c r="AB94" s="23">
        <f t="shared" si="118"/>
        <v>0.2</v>
      </c>
      <c r="AC94" s="24" t="str">
        <f t="shared" si="112"/>
        <v>Bajo</v>
      </c>
      <c r="AD94" s="33" t="s">
        <v>57</v>
      </c>
      <c r="AE94" s="26"/>
      <c r="AF94" s="30"/>
      <c r="AG94" s="27"/>
      <c r="AH94" s="27"/>
      <c r="AI94" s="26"/>
      <c r="AJ94" s="30"/>
      <c r="AK94" s="31"/>
      <c r="AL94" s="31"/>
      <c r="AM94" s="31"/>
      <c r="AN94" s="31"/>
      <c r="AO94" s="31"/>
      <c r="AP94" s="31"/>
      <c r="AQ94" s="31"/>
      <c r="AR94" s="31"/>
      <c r="AS94" s="31"/>
      <c r="AT94" s="31"/>
      <c r="AU94" s="31"/>
      <c r="AV94" s="31"/>
      <c r="AW94" s="31"/>
      <c r="AX94" s="31"/>
      <c r="AY94" s="31"/>
      <c r="AZ94" s="31"/>
      <c r="BA94" s="31"/>
      <c r="BB94" s="31"/>
      <c r="BC94" s="31"/>
      <c r="BD94" s="31"/>
      <c r="BE94" s="31"/>
      <c r="BF94" s="31"/>
      <c r="BG94" s="31"/>
      <c r="BH94" s="31"/>
      <c r="BI94" s="31"/>
      <c r="BJ94" s="31"/>
      <c r="BK94" s="31"/>
      <c r="BL94" s="31"/>
      <c r="BM94" s="31"/>
      <c r="BN94" s="31"/>
      <c r="BO94" s="31"/>
      <c r="BP94" s="31"/>
    </row>
    <row r="95" spans="1:68" s="32" customFormat="1" ht="167.25" customHeight="1" x14ac:dyDescent="0.25">
      <c r="A95" s="120" t="s">
        <v>269</v>
      </c>
      <c r="B95" s="81" t="s">
        <v>45</v>
      </c>
      <c r="C95" s="81" t="s">
        <v>253</v>
      </c>
      <c r="D95" s="82" t="s">
        <v>254</v>
      </c>
      <c r="E95" s="82" t="s">
        <v>255</v>
      </c>
      <c r="F95" s="81" t="s">
        <v>65</v>
      </c>
      <c r="G95" s="11">
        <f>7500*12</f>
        <v>90000</v>
      </c>
      <c r="H95" s="12" t="str">
        <f>IF(G95&lt;=0,"",IF(G95&lt;=2,"Muy Baja",IF(G95&lt;=24,"Baja",IF(G95&lt;=500,"Media",IF(G95&lt;=5000,"Alta","Muy Alta")))))</f>
        <v>Muy Alta</v>
      </c>
      <c r="I95" s="13">
        <f>IF(H95="","",IF(H95="Muy Baja",0.2,IF(H95="Baja",0.4,IF(H95="Media",0.6,IF(H95="Alta",0.8,IF(H95="Muy Alta",1,))))))</f>
        <v>1</v>
      </c>
      <c r="J95" s="83" t="s">
        <v>196</v>
      </c>
      <c r="K95" s="13" t="str">
        <f>IF(NOT(ISERROR(MATCH(J95,'[10]Tabla Impacto'!$B$221:$B$223,0))),'[10]Tabla Impacto'!$F$223&amp;"Por favor no seleccionar los criterios de impacto(Afectación Económica o presupuestal y Pérdida Reputacional)",J95)</f>
        <v xml:space="preserve">     El riesgo afecta la imagen de alguna área de la organización</v>
      </c>
      <c r="L95" s="12" t="str">
        <f>IF(OR(K95='[10]Tabla Impacto'!$C$11,K95='[10]Tabla Impacto'!$D$11),"Leve",IF(OR(K95='[10]Tabla Impacto'!$C$12,K95='[10]Tabla Impacto'!$D$12),"Menor",IF(OR(K95='[10]Tabla Impacto'!$C$13,K95='[10]Tabla Impacto'!$D$13),"Moderado",IF(OR(K95='[10]Tabla Impacto'!$C$14,K95='[10]Tabla Impacto'!$D$14),"Mayor",IF(OR(K95='[10]Tabla Impacto'!$C$15,K95='[10]Tabla Impacto'!$D$15),"Catastrófico","")))))</f>
        <v>Leve</v>
      </c>
      <c r="M95" s="84">
        <f>IF(L95="","",IF(L95="Leve",0.2,IF(L95="Menor",0.4,IF(L95="Moderado",0.6,IF(L95="Mayor",0.8,IF(L95="Catastrófico",1,))))))</f>
        <v>0.2</v>
      </c>
      <c r="N95" s="15" t="str">
        <f>IF(OR(AND(H95="Muy Baja",L95="Leve"),AND(H95="Muy Baja",L95="Menor"),AND(H95="Baja",L95="Leve")),"Bajo",IF(OR(AND(H95="Muy baja",L95="Moderado"),AND(H95="Baja",L95="Menor"),AND(H95="Baja",L95="Moderado"),AND(H95="Media",L95="Leve"),AND(H95="Media",L95="Menor"),AND(H95="Media",L95="Moderado"),AND(H95="Alta",L95="Leve"),AND(H95="Alta",L95="Menor")),"Moderado",IF(OR(AND(H95="Muy Baja",L95="Mayor"),AND(H95="Baja",L95="Mayor"),AND(H95="Media",L95="Mayor"),AND(H95="Alta",L95="Moderado"),AND(H95="Alta",L95="Mayor"),AND(H95="Muy Alta",L95="Leve"),AND(H95="Muy Alta",L95="Menor"),AND(H95="Muy Alta",L95="Moderado"),AND(H95="Muy Alta",L95="Mayor")),"Alto",IF(OR(AND(H95="Muy Baja",L95="Catastrófico"),AND(H95="Baja",L95="Catastrófico"),AND(H95="Media",L95="Catastrófico"),AND(H95="Alta",L95="Catastrófico"),AND(H95="Muy Alta",L95="Catastrófico")),"Extremo",""))))</f>
        <v>Alto</v>
      </c>
      <c r="O95" s="16">
        <v>1</v>
      </c>
      <c r="P95" s="85" t="s">
        <v>256</v>
      </c>
      <c r="Q95" s="86" t="str">
        <f>IF(OR(R95="Preventivo",R95="Detectivo"),"Probabilidad",IF(R95="Correctivo","Impacto",""))</f>
        <v>Probabilidad</v>
      </c>
      <c r="R95" s="87" t="s">
        <v>81</v>
      </c>
      <c r="S95" s="87" t="s">
        <v>68</v>
      </c>
      <c r="T95" s="88" t="str">
        <f>IF(AND(R95="Preventivo",S95="Automático"),"50%",IF(AND(R95="Preventivo",S95="Manual"),"40%",IF(AND(R95="Detectivo",S95="Automático"),"40%",IF(AND(R95="Detectivo",S95="Manual"),"30%",IF(AND(R95="Correctivo",S95="Automático"),"35%",IF(AND(R95="Correctivo",S95="Manual"),"25%",""))))))</f>
        <v>40%</v>
      </c>
      <c r="U95" s="87" t="s">
        <v>54</v>
      </c>
      <c r="V95" s="87" t="s">
        <v>70</v>
      </c>
      <c r="W95" s="87" t="s">
        <v>71</v>
      </c>
      <c r="X95" s="21">
        <f>IFERROR(IF(Q95="Probabilidad",(I95-(+I95*T95)),IF(Q95="Impacto",I95,"")),"")</f>
        <v>0.6</v>
      </c>
      <c r="Y95" s="22" t="str">
        <f>IFERROR(IF(X95="","",IF(X95&lt;=0.2,"Muy Baja",IF(X95&lt;=0.4,"Baja",IF(X95&lt;=0.6,"Media",IF(X95&lt;=0.8,"Alta","Muy Alta"))))),"")</f>
        <v>Media</v>
      </c>
      <c r="Z95" s="23">
        <f>+X95</f>
        <v>0.6</v>
      </c>
      <c r="AA95" s="22" t="str">
        <f>IFERROR(IF(AB95="","",IF(AB95&lt;=0.2,"Leve",IF(AB95&lt;=0.4,"Menor",IF(AB95&lt;=0.6,"Moderado",IF(AB95&lt;=0.8,"Mayor","Catastrófico"))))),"")</f>
        <v>Leve</v>
      </c>
      <c r="AB95" s="89">
        <f>IFERROR(IF(Q95="Impacto",(M95-(+M95*T95)),IF(Q95="Probabilidad",M95,"")),"")</f>
        <v>0.2</v>
      </c>
      <c r="AC95" s="24" t="str">
        <f>IFERROR(IF(OR(AND(Y95="Muy Baja",AA95="Leve"),AND(Y95="Muy Baja",AA95="Menor"),AND(Y95="Baja",AA95="Leve")),"Bajo",IF(OR(AND(Y95="Muy baja",AA95="Moderado"),AND(Y95="Baja",AA95="Menor"),AND(Y95="Baja",AA95="Moderado"),AND(Y95="Media",AA95="Leve"),AND(Y95="Media",AA95="Menor"),AND(Y95="Media",AA95="Moderado"),AND(Y95="Alta",AA95="Leve"),AND(Y95="Alta",AA95="Menor")),"Moderado",IF(OR(AND(Y95="Muy Baja",AA95="Mayor"),AND(Y95="Baja",AA95="Mayor"),AND(Y95="Media",AA95="Mayor"),AND(Y95="Alta",AA95="Moderado"),AND(Y95="Alta",AA95="Mayor"),AND(Y95="Muy Alta",AA95="Leve"),AND(Y95="Muy Alta",AA95="Menor"),AND(Y95="Muy Alta",AA95="Moderado"),AND(Y95="Muy Alta",AA95="Mayor")),"Alto",IF(OR(AND(Y95="Muy Baja",AA95="Catastrófico"),AND(Y95="Baja",AA95="Catastrófico"),AND(Y95="Media",AA95="Catastrófico"),AND(Y95="Alta",AA95="Catastrófico"),AND(Y95="Muy Alta",AA95="Catastrófico")),"Extremo","")))),"")</f>
        <v>Moderado</v>
      </c>
      <c r="AD95" s="90" t="s">
        <v>57</v>
      </c>
      <c r="AE95" s="91" t="s">
        <v>257</v>
      </c>
      <c r="AF95" s="91" t="s">
        <v>258</v>
      </c>
      <c r="AG95" s="92">
        <v>41550</v>
      </c>
      <c r="AH95" s="28"/>
      <c r="AI95" s="29"/>
      <c r="AJ95" s="93" t="s">
        <v>60</v>
      </c>
      <c r="AK95" s="31"/>
      <c r="AL95" s="31"/>
      <c r="AM95" s="31"/>
      <c r="AN95" s="31"/>
      <c r="AO95" s="31"/>
      <c r="AP95" s="31"/>
      <c r="AQ95" s="31"/>
      <c r="AR95" s="31"/>
      <c r="AS95" s="31"/>
      <c r="AT95" s="31"/>
      <c r="AU95" s="31"/>
      <c r="AV95" s="31"/>
      <c r="AW95" s="31"/>
      <c r="AX95" s="31"/>
      <c r="AY95" s="31"/>
      <c r="AZ95" s="31"/>
      <c r="BA95" s="31"/>
      <c r="BB95" s="31"/>
      <c r="BC95" s="31"/>
      <c r="BD95" s="31"/>
      <c r="BE95" s="31"/>
      <c r="BF95" s="31"/>
      <c r="BG95" s="31"/>
      <c r="BH95" s="31"/>
      <c r="BI95" s="31"/>
      <c r="BJ95" s="31"/>
      <c r="BK95" s="31"/>
      <c r="BL95" s="31"/>
      <c r="BM95" s="31"/>
      <c r="BN95" s="31"/>
      <c r="BO95" s="31"/>
      <c r="BP95" s="31"/>
    </row>
    <row r="96" spans="1:68" ht="202.5" customHeight="1" x14ac:dyDescent="0.3">
      <c r="A96" s="121"/>
      <c r="B96" s="81" t="s">
        <v>45</v>
      </c>
      <c r="C96" s="81" t="s">
        <v>259</v>
      </c>
      <c r="D96" s="82" t="s">
        <v>260</v>
      </c>
      <c r="E96" s="94" t="s">
        <v>261</v>
      </c>
      <c r="F96" s="81" t="s">
        <v>65</v>
      </c>
      <c r="G96" s="11">
        <f>50*12</f>
        <v>600</v>
      </c>
      <c r="H96" s="12" t="str">
        <f>IF(G96&lt;=0,"",IF(G96&lt;=2,"Muy Baja",IF(G96&lt;=24,"Baja",IF(G96&lt;=500,"Media",IF(G96&lt;=5000,"Alta","Muy Alta")))))</f>
        <v>Alta</v>
      </c>
      <c r="I96" s="13">
        <f>IF(H96="","",IF(H96="Muy Baja",0.2,IF(H96="Baja",0.4,IF(H96="Media",0.6,IF(H96="Alta",0.8,IF(H96="Muy Alta",1,))))))</f>
        <v>0.8</v>
      </c>
      <c r="J96" s="83" t="s">
        <v>196</v>
      </c>
      <c r="K96" s="45" t="str">
        <f>IF(NOT(ISERROR(MATCH(J96,'[10]Tabla Impacto'!$B$221:$B$223,0))),'[10]Tabla Impacto'!$F$223&amp;"Por favor no seleccionar los criterios de impacto(Afectación Económica o presupuestal y Pérdida Reputacional)",J96)</f>
        <v xml:space="preserve">     El riesgo afecta la imagen de alguna área de la organización</v>
      </c>
      <c r="L96" s="12" t="str">
        <f>IF(OR(K96='[10]Tabla Impacto'!$C$11,K96='[10]Tabla Impacto'!$D$11),"Leve",IF(OR(K96='[10]Tabla Impacto'!$C$12,K96='[10]Tabla Impacto'!$D$12),"Menor",IF(OR(K96='[10]Tabla Impacto'!$C$13,K96='[10]Tabla Impacto'!$D$13),"Moderado",IF(OR(K96='[10]Tabla Impacto'!$C$14,K96='[10]Tabla Impacto'!$D$14),"Mayor",IF(OR(K96='[10]Tabla Impacto'!$C$15,K96='[10]Tabla Impacto'!$D$15),"Catastrófico","")))))</f>
        <v>Leve</v>
      </c>
      <c r="M96" s="84">
        <f>IF(L96="","",IF(L96="Leve",0.2,IF(L96="Menor",0.4,IF(L96="Moderado",0.6,IF(L96="Mayor",0.8,IF(L96="Catastrófico",1,))))))</f>
        <v>0.2</v>
      </c>
      <c r="N96" s="15" t="str">
        <f>IF(OR(AND(H96="Muy Baja",L96="Leve"),AND(H96="Muy Baja",L96="Menor"),AND(H96="Baja",L96="Leve")),"Bajo",IF(OR(AND(H96="Muy baja",L96="Moderado"),AND(H96="Baja",L96="Menor"),AND(H96="Baja",L96="Moderado"),AND(H96="Media",L96="Leve"),AND(H96="Media",L96="Menor"),AND(H96="Media",L96="Moderado"),AND(H96="Alta",L96="Leve"),AND(H96="Alta",L96="Menor")),"Moderado",IF(OR(AND(H96="Muy Baja",L96="Mayor"),AND(H96="Baja",L96="Mayor"),AND(H96="Media",L96="Mayor"),AND(H96="Alta",L96="Moderado"),AND(H96="Alta",L96="Mayor"),AND(H96="Muy Alta",L96="Leve"),AND(H96="Muy Alta",L96="Menor"),AND(H96="Muy Alta",L96="Moderado"),AND(H96="Muy Alta",L96="Mayor")),"Alto",IF(OR(AND(H96="Muy Baja",L96="Catastrófico"),AND(H96="Baja",L96="Catastrófico"),AND(H96="Media",L96="Catastrófico"),AND(H96="Alta",L96="Catastrófico"),AND(H96="Muy Alta",L96="Catastrófico")),"Extremo",""))))</f>
        <v>Moderado</v>
      </c>
      <c r="O96" s="46">
        <v>1</v>
      </c>
      <c r="P96" s="85" t="s">
        <v>262</v>
      </c>
      <c r="Q96" s="86" t="str">
        <f>IF(OR(R96="Preventivo",R96="Detectivo"),"Probabilidad",IF(R96="Correctivo","Impacto",""))</f>
        <v>Probabilidad</v>
      </c>
      <c r="R96" s="87" t="s">
        <v>81</v>
      </c>
      <c r="S96" s="87" t="s">
        <v>68</v>
      </c>
      <c r="T96" s="88" t="str">
        <f>IF(AND(R96="Preventivo",S96="Automático"),"50%",IF(AND(R96="Preventivo",S96="Manual"),"40%",IF(AND(R96="Detectivo",S96="Automático"),"40%",IF(AND(R96="Detectivo",S96="Manual"),"30%",IF(AND(R96="Correctivo",S96="Automático"),"35%",IF(AND(R96="Correctivo",S96="Manual"),"25%",""))))))</f>
        <v>40%</v>
      </c>
      <c r="U96" s="87" t="s">
        <v>69</v>
      </c>
      <c r="V96" s="87" t="s">
        <v>55</v>
      </c>
      <c r="W96" s="95" t="s">
        <v>56</v>
      </c>
      <c r="X96" s="38">
        <f>IFERROR(IF(Q96="Probabilidad",(I96-(+I96*T96)),IF(Q96="Impacto",I96,"")),"")</f>
        <v>0.48</v>
      </c>
      <c r="Y96" s="22" t="str">
        <f>IFERROR(IF(X96="","",IF(X96&lt;=0.2,"Muy Baja",IF(X96&lt;=0.4,"Baja",IF(X96&lt;=0.6,"Media",IF(X96&lt;=0.8,"Alta","Muy Alta"))))),"")</f>
        <v>Media</v>
      </c>
      <c r="Z96" s="23">
        <f>+X96</f>
        <v>0.48</v>
      </c>
      <c r="AA96" s="22" t="str">
        <f>IFERROR(IF(AB96="","",IF(AB96&lt;=0.2,"Leve",IF(AB96&lt;=0.4,"Menor",IF(AB96&lt;=0.6,"Moderado",IF(AB96&lt;=0.8,"Mayor","Catastrófico"))))),"")</f>
        <v>Leve</v>
      </c>
      <c r="AB96" s="89">
        <f>IFERROR(IF(Q96="Impacto",(M96-(+M96*T96)),IF(Q96="Probabilidad",M96,"")),"")</f>
        <v>0.2</v>
      </c>
      <c r="AC96" s="24" t="str">
        <f>IFERROR(IF(OR(AND(Y96="Muy Baja",AA96="Leve"),AND(Y96="Muy Baja",AA96="Menor"),AND(Y96="Baja",AA96="Leve")),"Bajo",IF(OR(AND(Y96="Muy baja",AA96="Moderado"),AND(Y96="Baja",AA96="Menor"),AND(Y96="Baja",AA96="Moderado"),AND(Y96="Media",AA96="Leve"),AND(Y96="Media",AA96="Menor"),AND(Y96="Media",AA96="Moderado"),AND(Y96="Alta",AA96="Leve"),AND(Y96="Alta",AA96="Menor")),"Moderado",IF(OR(AND(Y96="Muy Baja",AA96="Mayor"),AND(Y96="Baja",AA96="Mayor"),AND(Y96="Media",AA96="Mayor"),AND(Y96="Alta",AA96="Moderado"),AND(Y96="Alta",AA96="Mayor"),AND(Y96="Muy Alta",AA96="Leve"),AND(Y96="Muy Alta",AA96="Menor"),AND(Y96="Muy Alta",AA96="Moderado"),AND(Y96="Muy Alta",AA96="Mayor")),"Alto",IF(OR(AND(Y96="Muy Baja",AA96="Catastrófico"),AND(Y96="Baja",AA96="Catastrófico"),AND(Y96="Media",AA96="Catastrófico"),AND(Y96="Alta",AA96="Catastrófico"),AND(Y96="Muy Alta",AA96="Catastrófico")),"Extremo","")))),"")</f>
        <v>Moderado</v>
      </c>
      <c r="AD96" s="96" t="s">
        <v>57</v>
      </c>
      <c r="AE96" s="82" t="s">
        <v>263</v>
      </c>
      <c r="AF96" s="82" t="s">
        <v>258</v>
      </c>
      <c r="AG96" s="97">
        <v>41550</v>
      </c>
      <c r="AH96" s="71"/>
      <c r="AI96" s="59"/>
      <c r="AJ96" s="11" t="s">
        <v>60</v>
      </c>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row>
    <row r="97" spans="1:68" ht="151.5" customHeight="1" x14ac:dyDescent="0.3">
      <c r="A97" s="121"/>
      <c r="B97" s="81" t="s">
        <v>45</v>
      </c>
      <c r="C97" s="82" t="s">
        <v>264</v>
      </c>
      <c r="D97" s="82" t="s">
        <v>265</v>
      </c>
      <c r="E97" s="82" t="s">
        <v>266</v>
      </c>
      <c r="F97" s="81" t="s">
        <v>65</v>
      </c>
      <c r="G97" s="98">
        <f>1300*12</f>
        <v>15600</v>
      </c>
      <c r="H97" s="99" t="str">
        <f>IF(G97&lt;=0,"",IF(G97&lt;=2,"Muy Baja",IF(G97&lt;=24,"Baja",IF(G97&lt;=500,"Media",IF(G97&lt;=5000,"Alta","Muy Alta")))))</f>
        <v>Muy Alta</v>
      </c>
      <c r="I97" s="84">
        <f>IF(H97="","",IF(H97="Muy Baja",0.2,IF(H97="Baja",0.4,IF(H97="Media",0.6,IF(H97="Alta",0.8,IF(H97="Muy Alta",1,))))))</f>
        <v>1</v>
      </c>
      <c r="J97" s="83" t="s">
        <v>196</v>
      </c>
      <c r="K97" s="100" t="str">
        <f>IF(NOT(ISERROR(MATCH(J97,'[10]Tabla Impacto'!$B$221:$B$223,0))),'[10]Tabla Impacto'!$F$223&amp;"Por favor no seleccionar los criterios de impacto(Afectación Económica o presupuestal y Pérdida Reputacional)",J97)</f>
        <v xml:space="preserve">     El riesgo afecta la imagen de alguna área de la organización</v>
      </c>
      <c r="L97" s="99" t="str">
        <f>IF(OR(K97='[10]Tabla Impacto'!$C$11,K97='[10]Tabla Impacto'!$D$11),"Leve",IF(OR(K97='[10]Tabla Impacto'!$C$12,K97='[10]Tabla Impacto'!$D$12),"Menor",IF(OR(K97='[10]Tabla Impacto'!$C$13,K97='[10]Tabla Impacto'!$D$13),"Moderado",IF(OR(K97='[10]Tabla Impacto'!$C$14,K97='[10]Tabla Impacto'!$D$14),"Mayor",IF(OR(K97='[10]Tabla Impacto'!$C$15,K97='[10]Tabla Impacto'!$D$15),"Catastrófico","")))))</f>
        <v>Leve</v>
      </c>
      <c r="M97" s="84">
        <f>IF(L97="","",IF(L97="Leve",0.2,IF(L97="Menor",0.4,IF(L97="Moderado",0.6,IF(L97="Mayor",0.8,IF(L97="Catastrófico",1,))))))</f>
        <v>0.2</v>
      </c>
      <c r="N97" s="101" t="str">
        <f>IF(OR(AND(H97="Muy Baja",L97="Leve"),AND(H97="Muy Baja",L97="Menor"),AND(H97="Baja",L97="Leve")),"Bajo",IF(OR(AND(H97="Muy baja",L97="Moderado"),AND(H97="Baja",L97="Menor"),AND(H97="Baja",L97="Moderado"),AND(H97="Media",L97="Leve"),AND(H97="Media",L97="Menor"),AND(H97="Media",L97="Moderado"),AND(H97="Alta",L97="Leve"),AND(H97="Alta",L97="Menor")),"Moderado",IF(OR(AND(H97="Muy Baja",L97="Mayor"),AND(H97="Baja",L97="Mayor"),AND(H97="Media",L97="Mayor"),AND(H97="Alta",L97="Moderado"),AND(H97="Alta",L97="Mayor"),AND(H97="Muy Alta",L97="Leve"),AND(H97="Muy Alta",L97="Menor"),AND(H97="Muy Alta",L97="Moderado"),AND(H97="Muy Alta",L97="Mayor")),"Alto",IF(OR(AND(H97="Muy Baja",L97="Catastrófico"),AND(H97="Baja",L97="Catastrófico"),AND(H97="Media",L97="Catastrófico"),AND(H97="Alta",L97="Catastrófico"),AND(H97="Muy Alta",L97="Catastrófico")),"Extremo",""))))</f>
        <v>Alto</v>
      </c>
      <c r="O97" s="102">
        <v>1</v>
      </c>
      <c r="P97" s="85" t="s">
        <v>267</v>
      </c>
      <c r="Q97" s="86" t="str">
        <f>IF(OR(R97="Preventivo",R97="Detectivo"),"Probabilidad",IF(R97="Correctivo","Impacto",""))</f>
        <v>Probabilidad</v>
      </c>
      <c r="R97" s="87" t="s">
        <v>52</v>
      </c>
      <c r="S97" s="87" t="s">
        <v>68</v>
      </c>
      <c r="T97" s="88" t="str">
        <f>IF(AND(R97="Preventivo",S97="Automático"),"50%",IF(AND(R97="Preventivo",S97="Manual"),"40%",IF(AND(R97="Detectivo",S97="Automático"),"40%",IF(AND(R97="Detectivo",S97="Manual"),"30%",IF(AND(R97="Correctivo",S97="Automático"),"35%",IF(AND(R97="Correctivo",S97="Manual"),"25%",""))))))</f>
        <v>30%</v>
      </c>
      <c r="U97" s="87" t="s">
        <v>54</v>
      </c>
      <c r="V97" s="87" t="s">
        <v>55</v>
      </c>
      <c r="W97" s="87" t="s">
        <v>56</v>
      </c>
      <c r="X97" s="103">
        <f>IFERROR(IF(Q97="Probabilidad",(I97-(+I97*T97)),IF(Q97="Impacto",I97,"")),"")</f>
        <v>0.7</v>
      </c>
      <c r="Y97" s="104" t="str">
        <f>IFERROR(IF(X97="","",IF(X97&lt;=0.2,"Muy Baja",IF(X97&lt;=0.4,"Baja",IF(X97&lt;=0.6,"Media",IF(X97&lt;=0.8,"Alta","Muy Alta"))))),"")</f>
        <v>Alta</v>
      </c>
      <c r="Z97" s="89">
        <f>+X97</f>
        <v>0.7</v>
      </c>
      <c r="AA97" s="104" t="str">
        <f>IFERROR(IF(AB97="","",IF(AB97&lt;=0.2,"Leve",IF(AB97&lt;=0.4,"Menor",IF(AB97&lt;=0.6,"Moderado",IF(AB97&lt;=0.8,"Mayor","Catastrófico"))))),"")</f>
        <v>Leve</v>
      </c>
      <c r="AB97" s="89">
        <f>IFERROR(IF(Q97="Impacto",(M97-(+M97*T97)),IF(Q97="Probabilidad",M97,"")),"")</f>
        <v>0.2</v>
      </c>
      <c r="AC97" s="105" t="str">
        <f>IFERROR(IF(OR(AND(Y97="Muy Baja",AA97="Leve"),AND(Y97="Muy Baja",AA97="Menor"),AND(Y97="Baja",AA97="Leve")),"Bajo",IF(OR(AND(Y97="Muy baja",AA97="Moderado"),AND(Y97="Baja",AA97="Menor"),AND(Y97="Baja",AA97="Moderado"),AND(Y97="Media",AA97="Leve"),AND(Y97="Media",AA97="Menor"),AND(Y97="Media",AA97="Moderado"),AND(Y97="Alta",AA97="Leve"),AND(Y97="Alta",AA97="Menor")),"Moderado",IF(OR(AND(Y97="Muy Baja",AA97="Mayor"),AND(Y97="Baja",AA97="Mayor"),AND(Y97="Media",AA97="Mayor"),AND(Y97="Alta",AA97="Moderado"),AND(Y97="Alta",AA97="Mayor"),AND(Y97="Muy Alta",AA97="Leve"),AND(Y97="Muy Alta",AA97="Menor"),AND(Y97="Muy Alta",AA97="Moderado"),AND(Y97="Muy Alta",AA97="Mayor")),"Alto",IF(OR(AND(Y97="Muy Baja",AA97="Catastrófico"),AND(Y97="Baja",AA97="Catastrófico"),AND(Y97="Media",AA97="Catastrófico"),AND(Y97="Alta",AA97="Catastrófico"),AND(Y97="Muy Alta",AA97="Catastrófico")),"Extremo","")))),"")</f>
        <v>Moderado</v>
      </c>
      <c r="AD97" s="96" t="s">
        <v>57</v>
      </c>
      <c r="AE97" s="91" t="s">
        <v>268</v>
      </c>
      <c r="AF97" s="106" t="s">
        <v>258</v>
      </c>
      <c r="AG97" s="107"/>
      <c r="AH97" s="92">
        <v>44785</v>
      </c>
      <c r="AI97" s="108"/>
      <c r="AJ97" s="93" t="s">
        <v>60</v>
      </c>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row>
    <row r="98" spans="1:68" s="32" customFormat="1" ht="308.25" customHeight="1" x14ac:dyDescent="0.25">
      <c r="A98" s="109" t="s">
        <v>270</v>
      </c>
      <c r="B98" s="81" t="s">
        <v>45</v>
      </c>
      <c r="C98" s="81" t="s">
        <v>271</v>
      </c>
      <c r="D98" s="82" t="s">
        <v>272</v>
      </c>
      <c r="E98" s="82" t="s">
        <v>273</v>
      </c>
      <c r="F98" s="81" t="s">
        <v>275</v>
      </c>
      <c r="G98" s="11">
        <v>36000</v>
      </c>
      <c r="H98" s="12" t="str">
        <f>IF(G98&lt;=0,"",IF(G98&lt;=2,"Muy Baja",IF(G98&lt;=24,"Baja",IF(G98&lt;=500,"Media",IF(G98&lt;=5000,"Alta","Muy Alta")))))</f>
        <v>Muy Alta</v>
      </c>
      <c r="I98" s="13">
        <f>IF(H98="","",IF(H98="Muy Baja",0.2,IF(H98="Baja",0.4,IF(H98="Media",0.6,IF(H98="Alta",0.8,IF(H98="Muy Alta",1,))))))</f>
        <v>1</v>
      </c>
      <c r="J98" s="83" t="s">
        <v>196</v>
      </c>
      <c r="K98" s="13" t="str">
        <f>IF(NOT(ISERROR(MATCH(J98,'[10]Tabla Impacto'!$B$221:$B$223,0))),'[10]Tabla Impacto'!$F$223&amp;"Por favor no seleccionar los criterios de impacto(Afectación Económica o presupuestal y Pérdida Reputacional)",J98)</f>
        <v xml:space="preserve">     El riesgo afecta la imagen de alguna área de la organización</v>
      </c>
      <c r="L98" s="12" t="str">
        <f>IF(OR(K98='[10]Tabla Impacto'!$C$11,K98='[10]Tabla Impacto'!$D$11),"Leve",IF(OR(K98='[10]Tabla Impacto'!$C$12,K98='[10]Tabla Impacto'!$D$12),"Menor",IF(OR(K98='[10]Tabla Impacto'!$C$13,K98='[10]Tabla Impacto'!$D$13),"Moderado",IF(OR(K98='[10]Tabla Impacto'!$C$14,K98='[10]Tabla Impacto'!$D$14),"Mayor",IF(OR(K98='[10]Tabla Impacto'!$C$15,K98='[10]Tabla Impacto'!$D$15),"Catastrófico","")))))</f>
        <v>Leve</v>
      </c>
      <c r="M98" s="84">
        <f>IF(L98="","",IF(L98="Leve",0.2,IF(L98="Menor",0.4,IF(L98="Moderado",0.6,IF(L98="Mayor",0.8,IF(L98="Catastrófico",1,))))))</f>
        <v>0.2</v>
      </c>
      <c r="N98" s="15" t="str">
        <f>IF(OR(AND(H98="Muy Baja",L98="Leve"),AND(H98="Muy Baja",L98="Menor"),AND(H98="Baja",L98="Leve")),"Bajo",IF(OR(AND(H98="Muy baja",L98="Moderado"),AND(H98="Baja",L98="Menor"),AND(H98="Baja",L98="Moderado"),AND(H98="Media",L98="Leve"),AND(H98="Media",L98="Menor"),AND(H98="Media",L98="Moderado"),AND(H98="Alta",L98="Leve"),AND(H98="Alta",L98="Menor")),"Moderado",IF(OR(AND(H98="Muy Baja",L98="Mayor"),AND(H98="Baja",L98="Mayor"),AND(H98="Media",L98="Mayor"),AND(H98="Alta",L98="Moderado"),AND(H98="Alta",L98="Mayor"),AND(H98="Muy Alta",L98="Leve"),AND(H98="Muy Alta",L98="Menor"),AND(H98="Muy Alta",L98="Moderado"),AND(H98="Muy Alta",L98="Mayor")),"Alto",IF(OR(AND(H98="Muy Baja",L98="Catastrófico"),AND(H98="Baja",L98="Catastrófico"),AND(H98="Media",L98="Catastrófico"),AND(H98="Alta",L98="Catastrófico"),AND(H98="Muy Alta",L98="Catastrófico")),"Extremo",""))))</f>
        <v>Alto</v>
      </c>
      <c r="O98" s="16">
        <v>1</v>
      </c>
      <c r="P98" s="85" t="s">
        <v>276</v>
      </c>
      <c r="Q98" s="86" t="str">
        <f>IF(OR(R98="Preventivo",R98="Detectivo"),"Probabilidad",IF(R98="Correctivo","Impacto",""))</f>
        <v>Probabilidad</v>
      </c>
      <c r="R98" s="87" t="s">
        <v>81</v>
      </c>
      <c r="S98" s="87" t="s">
        <v>68</v>
      </c>
      <c r="T98" s="88" t="str">
        <f>IF(AND(R98="Preventivo",S98="Automático"),"50%",IF(AND(R98="Preventivo",S98="Manual"),"40%",IF(AND(R98="Detectivo",S98="Automático"),"40%",IF(AND(R98="Detectivo",S98="Manual"),"30%",IF(AND(R98="Correctivo",S98="Automático"),"35%",IF(AND(R98="Correctivo",S98="Manual"),"25%",""))))))</f>
        <v>40%</v>
      </c>
      <c r="U98" s="87" t="s">
        <v>54</v>
      </c>
      <c r="V98" s="87" t="s">
        <v>70</v>
      </c>
      <c r="W98" s="87" t="s">
        <v>71</v>
      </c>
      <c r="X98" s="21">
        <f>IFERROR(IF(Q98="Probabilidad",(I98-(+I98*T98)),IF(Q98="Impacto",I98,"")),"")</f>
        <v>0.6</v>
      </c>
      <c r="Y98" s="22" t="str">
        <f>IFERROR(IF(X98="","",IF(X98&lt;=0.2,"Muy Baja",IF(X98&lt;=0.4,"Baja",IF(X98&lt;=0.6,"Media",IF(X98&lt;=0.8,"Alta","Muy Alta"))))),"")</f>
        <v>Media</v>
      </c>
      <c r="Z98" s="23">
        <f>+X98</f>
        <v>0.6</v>
      </c>
      <c r="AA98" s="22" t="str">
        <f>IFERROR(IF(AB98="","",IF(AB98&lt;=0.2,"Leve",IF(AB98&lt;=0.4,"Menor",IF(AB98&lt;=0.6,"Moderado",IF(AB98&lt;=0.8,"Mayor","Catastrófico"))))),"")</f>
        <v>Leve</v>
      </c>
      <c r="AB98" s="89">
        <f>IFERROR(IF(Q98="Impacto",(M98-(+M98*T98)),IF(Q98="Probabilidad",M98,"")),"")</f>
        <v>0.2</v>
      </c>
      <c r="AC98" s="24" t="str">
        <f>IFERROR(IF(OR(AND(Y98="Muy Baja",AA98="Leve"),AND(Y98="Muy Baja",AA98="Menor"),AND(Y98="Baja",AA98="Leve")),"Bajo",IF(OR(AND(Y98="Muy baja",AA98="Moderado"),AND(Y98="Baja",AA98="Menor"),AND(Y98="Baja",AA98="Moderado"),AND(Y98="Media",AA98="Leve"),AND(Y98="Media",AA98="Menor"),AND(Y98="Media",AA98="Moderado"),AND(Y98="Alta",AA98="Leve"),AND(Y98="Alta",AA98="Menor")),"Moderado",IF(OR(AND(Y98="Muy Baja",AA98="Mayor"),AND(Y98="Baja",AA98="Mayor"),AND(Y98="Media",AA98="Mayor"),AND(Y98="Alta",AA98="Moderado"),AND(Y98="Alta",AA98="Mayor"),AND(Y98="Muy Alta",AA98="Leve"),AND(Y98="Muy Alta",AA98="Menor"),AND(Y98="Muy Alta",AA98="Moderado"),AND(Y98="Muy Alta",AA98="Mayor")),"Alto",IF(OR(AND(Y98="Muy Baja",AA98="Catastrófico"),AND(Y98="Baja",AA98="Catastrófico"),AND(Y98="Media",AA98="Catastrófico"),AND(Y98="Alta",AA98="Catastrófico"),AND(Y98="Muy Alta",AA98="Catastrófico")),"Extremo","")))),"")</f>
        <v>Moderado</v>
      </c>
      <c r="AD98" s="90" t="s">
        <v>57</v>
      </c>
      <c r="AE98" s="91" t="s">
        <v>277</v>
      </c>
      <c r="AF98" s="91" t="s">
        <v>278</v>
      </c>
      <c r="AG98" s="92">
        <v>44591</v>
      </c>
      <c r="AH98" s="197">
        <v>44956</v>
      </c>
      <c r="AI98" s="29"/>
      <c r="AJ98" s="93" t="s">
        <v>60</v>
      </c>
      <c r="AK98" s="31"/>
      <c r="AL98" s="31"/>
      <c r="AM98" s="31"/>
      <c r="AN98" s="31"/>
      <c r="AO98" s="31"/>
      <c r="AP98" s="31"/>
      <c r="AQ98" s="31"/>
      <c r="AR98" s="31"/>
      <c r="AS98" s="31"/>
      <c r="AT98" s="31"/>
      <c r="AU98" s="31"/>
      <c r="AV98" s="31"/>
      <c r="AW98" s="31"/>
      <c r="AX98" s="31"/>
      <c r="AY98" s="31"/>
      <c r="AZ98" s="31"/>
      <c r="BA98" s="31"/>
      <c r="BB98" s="31"/>
      <c r="BC98" s="31"/>
      <c r="BD98" s="31"/>
      <c r="BE98" s="31"/>
      <c r="BF98" s="31"/>
      <c r="BG98" s="31"/>
      <c r="BH98" s="31"/>
      <c r="BI98" s="31"/>
      <c r="BJ98" s="31"/>
      <c r="BK98" s="31"/>
      <c r="BL98" s="31"/>
      <c r="BM98" s="31"/>
      <c r="BN98" s="31"/>
      <c r="BO98" s="31"/>
      <c r="BP98" s="31"/>
    </row>
  </sheetData>
  <dataConsolidate/>
  <mergeCells count="300">
    <mergeCell ref="A10:A14"/>
    <mergeCell ref="I26:I27"/>
    <mergeCell ref="J26:J27"/>
    <mergeCell ref="K26:K27"/>
    <mergeCell ref="L26:L27"/>
    <mergeCell ref="M26:M27"/>
    <mergeCell ref="N26:N27"/>
    <mergeCell ref="M22:M25"/>
    <mergeCell ref="N22:N25"/>
    <mergeCell ref="B26:B27"/>
    <mergeCell ref="C26:C27"/>
    <mergeCell ref="D26:D27"/>
    <mergeCell ref="E26:E27"/>
    <mergeCell ref="G26:G27"/>
    <mergeCell ref="H26:H27"/>
    <mergeCell ref="G22:G25"/>
    <mergeCell ref="H22:H25"/>
    <mergeCell ref="I22:I25"/>
    <mergeCell ref="J22:J25"/>
    <mergeCell ref="K22:K25"/>
    <mergeCell ref="L22:L25"/>
    <mergeCell ref="L20:L21"/>
    <mergeCell ref="M20:M21"/>
    <mergeCell ref="N20:N21"/>
    <mergeCell ref="B20:B21"/>
    <mergeCell ref="C20:C21"/>
    <mergeCell ref="D20:D21"/>
    <mergeCell ref="E20:E21"/>
    <mergeCell ref="F20:F21"/>
    <mergeCell ref="G20:G21"/>
    <mergeCell ref="H20:H21"/>
    <mergeCell ref="I20:I21"/>
    <mergeCell ref="J20:J21"/>
    <mergeCell ref="K20:K21"/>
    <mergeCell ref="I17:I18"/>
    <mergeCell ref="J17:J18"/>
    <mergeCell ref="K17:K18"/>
    <mergeCell ref="L17:L18"/>
    <mergeCell ref="M17:M18"/>
    <mergeCell ref="N17:N18"/>
    <mergeCell ref="M15:M16"/>
    <mergeCell ref="N15:N16"/>
    <mergeCell ref="I15:I16"/>
    <mergeCell ref="J15:J16"/>
    <mergeCell ref="K15:K16"/>
    <mergeCell ref="L15:L16"/>
    <mergeCell ref="B11:B12"/>
    <mergeCell ref="C11:C12"/>
    <mergeCell ref="D11:D12"/>
    <mergeCell ref="E11:E12"/>
    <mergeCell ref="F11:F12"/>
    <mergeCell ref="G11:G12"/>
    <mergeCell ref="H11:H12"/>
    <mergeCell ref="B17:B18"/>
    <mergeCell ref="C17:C18"/>
    <mergeCell ref="D17:D18"/>
    <mergeCell ref="E17:E18"/>
    <mergeCell ref="F17:F18"/>
    <mergeCell ref="G17:G18"/>
    <mergeCell ref="H17:H18"/>
    <mergeCell ref="G15:G16"/>
    <mergeCell ref="H15:H16"/>
    <mergeCell ref="B15:B16"/>
    <mergeCell ref="C15:C16"/>
    <mergeCell ref="D15:D16"/>
    <mergeCell ref="E15:E16"/>
    <mergeCell ref="F15:F16"/>
    <mergeCell ref="AC8:AC9"/>
    <mergeCell ref="AD8:AD9"/>
    <mergeCell ref="P8:P9"/>
    <mergeCell ref="Q8:Q9"/>
    <mergeCell ref="R8:W8"/>
    <mergeCell ref="X8:X9"/>
    <mergeCell ref="Y8:Y9"/>
    <mergeCell ref="Z8:Z9"/>
    <mergeCell ref="I11:I12"/>
    <mergeCell ref="J11:J12"/>
    <mergeCell ref="K11:K12"/>
    <mergeCell ref="L11:L12"/>
    <mergeCell ref="M11:M12"/>
    <mergeCell ref="N11:N12"/>
    <mergeCell ref="J8:J9"/>
    <mergeCell ref="K8:K9"/>
    <mergeCell ref="L8:L9"/>
    <mergeCell ref="M8:M9"/>
    <mergeCell ref="N8:N9"/>
    <mergeCell ref="O8:O9"/>
    <mergeCell ref="AE7:AJ7"/>
    <mergeCell ref="A8:A9"/>
    <mergeCell ref="B8:B9"/>
    <mergeCell ref="C8:C9"/>
    <mergeCell ref="D8:D9"/>
    <mergeCell ref="E8:E9"/>
    <mergeCell ref="F8:F9"/>
    <mergeCell ref="G8:G9"/>
    <mergeCell ref="H8:H9"/>
    <mergeCell ref="I8:I9"/>
    <mergeCell ref="AG8:AG9"/>
    <mergeCell ref="AH8:AH9"/>
    <mergeCell ref="AI8:AI9"/>
    <mergeCell ref="AJ8:AJ9"/>
    <mergeCell ref="AE8:AE9"/>
    <mergeCell ref="AF8:AF9"/>
    <mergeCell ref="AA8:AA9"/>
    <mergeCell ref="AB8:AB9"/>
    <mergeCell ref="A6:B6"/>
    <mergeCell ref="C6:N6"/>
    <mergeCell ref="A7:G7"/>
    <mergeCell ref="H7:N7"/>
    <mergeCell ref="O7:W7"/>
    <mergeCell ref="X7:AD7"/>
    <mergeCell ref="A1:AJ2"/>
    <mergeCell ref="A4:B4"/>
    <mergeCell ref="C4:N4"/>
    <mergeCell ref="O4:Q4"/>
    <mergeCell ref="A5:B5"/>
    <mergeCell ref="C5:N5"/>
    <mergeCell ref="AE22:AE25"/>
    <mergeCell ref="AF22:AF25"/>
    <mergeCell ref="AG22:AG25"/>
    <mergeCell ref="AH22:AH25"/>
    <mergeCell ref="AI22:AI25"/>
    <mergeCell ref="AJ22:AJ25"/>
    <mergeCell ref="B29:B30"/>
    <mergeCell ref="C29:C30"/>
    <mergeCell ref="D29:D30"/>
    <mergeCell ref="E29:E30"/>
    <mergeCell ref="F29:F30"/>
    <mergeCell ref="G29:G30"/>
    <mergeCell ref="H29:H30"/>
    <mergeCell ref="I29:I30"/>
    <mergeCell ref="J29:J30"/>
    <mergeCell ref="K29:K30"/>
    <mergeCell ref="L29:L30"/>
    <mergeCell ref="M29:M30"/>
    <mergeCell ref="N29:N30"/>
    <mergeCell ref="B22:B25"/>
    <mergeCell ref="C22:C25"/>
    <mergeCell ref="D22:D25"/>
    <mergeCell ref="E22:E25"/>
    <mergeCell ref="F22:F25"/>
    <mergeCell ref="AJ31:AJ34"/>
    <mergeCell ref="B35:B40"/>
    <mergeCell ref="C35:C40"/>
    <mergeCell ref="D35:D40"/>
    <mergeCell ref="E35:E40"/>
    <mergeCell ref="F35:F40"/>
    <mergeCell ref="G35:G40"/>
    <mergeCell ref="H35:H40"/>
    <mergeCell ref="I35:I40"/>
    <mergeCell ref="J35:J40"/>
    <mergeCell ref="K35:K40"/>
    <mergeCell ref="L35:L40"/>
    <mergeCell ref="M35:M40"/>
    <mergeCell ref="N35:N40"/>
    <mergeCell ref="J31:J34"/>
    <mergeCell ref="K31:K34"/>
    <mergeCell ref="L31:L34"/>
    <mergeCell ref="M31:M34"/>
    <mergeCell ref="N31:N34"/>
    <mergeCell ref="AE31:AE34"/>
    <mergeCell ref="AF31:AF34"/>
    <mergeCell ref="AG31:AG34"/>
    <mergeCell ref="AH31:AH34"/>
    <mergeCell ref="B31:B34"/>
    <mergeCell ref="B41:B46"/>
    <mergeCell ref="C41:C46"/>
    <mergeCell ref="D41:D46"/>
    <mergeCell ref="E41:E46"/>
    <mergeCell ref="F41:F46"/>
    <mergeCell ref="G41:G46"/>
    <mergeCell ref="H41:H46"/>
    <mergeCell ref="I41:I46"/>
    <mergeCell ref="AI31:AI34"/>
    <mergeCell ref="C31:C34"/>
    <mergeCell ref="D31:D34"/>
    <mergeCell ref="E31:E34"/>
    <mergeCell ref="F31:F34"/>
    <mergeCell ref="G31:G34"/>
    <mergeCell ref="H31:H34"/>
    <mergeCell ref="I31:I34"/>
    <mergeCell ref="B47:B52"/>
    <mergeCell ref="C47:C52"/>
    <mergeCell ref="D47:D52"/>
    <mergeCell ref="E47:E52"/>
    <mergeCell ref="F47:F52"/>
    <mergeCell ref="G47:G52"/>
    <mergeCell ref="H47:H52"/>
    <mergeCell ref="I47:I52"/>
    <mergeCell ref="J47:J52"/>
    <mergeCell ref="F53:F58"/>
    <mergeCell ref="G53:G58"/>
    <mergeCell ref="H53:H58"/>
    <mergeCell ref="I53:I58"/>
    <mergeCell ref="J41:J46"/>
    <mergeCell ref="K41:K46"/>
    <mergeCell ref="L41:L46"/>
    <mergeCell ref="M41:M46"/>
    <mergeCell ref="N41:N46"/>
    <mergeCell ref="K47:K52"/>
    <mergeCell ref="L47:L52"/>
    <mergeCell ref="M47:M52"/>
    <mergeCell ref="N47:N52"/>
    <mergeCell ref="H65:H70"/>
    <mergeCell ref="I65:I70"/>
    <mergeCell ref="J53:J58"/>
    <mergeCell ref="K53:K58"/>
    <mergeCell ref="L53:L58"/>
    <mergeCell ref="M53:M58"/>
    <mergeCell ref="N53:N58"/>
    <mergeCell ref="B59:B64"/>
    <mergeCell ref="C59:C64"/>
    <mergeCell ref="D59:D64"/>
    <mergeCell ref="E59:E64"/>
    <mergeCell ref="F59:F64"/>
    <mergeCell ref="G59:G64"/>
    <mergeCell ref="H59:H64"/>
    <mergeCell ref="I59:I64"/>
    <mergeCell ref="J59:J64"/>
    <mergeCell ref="K59:K64"/>
    <mergeCell ref="L59:L64"/>
    <mergeCell ref="M59:M64"/>
    <mergeCell ref="N59:N64"/>
    <mergeCell ref="B53:B58"/>
    <mergeCell ref="C53:C58"/>
    <mergeCell ref="D53:D58"/>
    <mergeCell ref="E53:E58"/>
    <mergeCell ref="J65:J70"/>
    <mergeCell ref="K65:K70"/>
    <mergeCell ref="L65:L70"/>
    <mergeCell ref="M65:M70"/>
    <mergeCell ref="N65:N70"/>
    <mergeCell ref="B71:B76"/>
    <mergeCell ref="C71:C76"/>
    <mergeCell ref="D71:D76"/>
    <mergeCell ref="E71:E76"/>
    <mergeCell ref="F71:F76"/>
    <mergeCell ref="G71:G76"/>
    <mergeCell ref="H71:H76"/>
    <mergeCell ref="I71:I76"/>
    <mergeCell ref="J71:J76"/>
    <mergeCell ref="K71:K76"/>
    <mergeCell ref="L71:L76"/>
    <mergeCell ref="M71:M76"/>
    <mergeCell ref="N71:N76"/>
    <mergeCell ref="B65:B70"/>
    <mergeCell ref="C65:C70"/>
    <mergeCell ref="D65:D70"/>
    <mergeCell ref="E65:E70"/>
    <mergeCell ref="F65:F70"/>
    <mergeCell ref="G65:G70"/>
    <mergeCell ref="N79:N82"/>
    <mergeCell ref="B77:B78"/>
    <mergeCell ref="C77:C78"/>
    <mergeCell ref="D77:D78"/>
    <mergeCell ref="E77:E78"/>
    <mergeCell ref="F77:F78"/>
    <mergeCell ref="G77:G78"/>
    <mergeCell ref="H77:H78"/>
    <mergeCell ref="I77:I78"/>
    <mergeCell ref="AE79:AE82"/>
    <mergeCell ref="AF79:AF82"/>
    <mergeCell ref="AG79:AG82"/>
    <mergeCell ref="AH79:AH82"/>
    <mergeCell ref="AI79:AI82"/>
    <mergeCell ref="AJ79:AJ82"/>
    <mergeCell ref="A15:A82"/>
    <mergeCell ref="J77:J78"/>
    <mergeCell ref="K77:K78"/>
    <mergeCell ref="L77:L78"/>
    <mergeCell ref="M77:M78"/>
    <mergeCell ref="N77:N78"/>
    <mergeCell ref="B79:B82"/>
    <mergeCell ref="C79:C82"/>
    <mergeCell ref="D79:D82"/>
    <mergeCell ref="E79:E82"/>
    <mergeCell ref="F79:F82"/>
    <mergeCell ref="G79:G82"/>
    <mergeCell ref="H79:H82"/>
    <mergeCell ref="I79:I82"/>
    <mergeCell ref="J79:J82"/>
    <mergeCell ref="K79:K82"/>
    <mergeCell ref="L79:L82"/>
    <mergeCell ref="M79:M82"/>
    <mergeCell ref="A83:A86"/>
    <mergeCell ref="J87:J88"/>
    <mergeCell ref="K87:K88"/>
    <mergeCell ref="L87:L88"/>
    <mergeCell ref="M87:M88"/>
    <mergeCell ref="N87:N88"/>
    <mergeCell ref="A87:A94"/>
    <mergeCell ref="A95:A97"/>
    <mergeCell ref="B87:B88"/>
    <mergeCell ref="C87:C88"/>
    <mergeCell ref="D87:D88"/>
    <mergeCell ref="E87:E88"/>
    <mergeCell ref="F87:F88"/>
    <mergeCell ref="G87:G88"/>
    <mergeCell ref="H87:H88"/>
    <mergeCell ref="I87:I88"/>
  </mergeCells>
  <conditionalFormatting sqref="H10:H11 H13 Y13:Y14">
    <cfRule type="cellIs" dxfId="846" priority="1041" operator="equal">
      <formula>"Muy Alta"</formula>
    </cfRule>
    <cfRule type="cellIs" dxfId="845" priority="1042" operator="equal">
      <formula>"Alta"</formula>
    </cfRule>
    <cfRule type="cellIs" dxfId="844" priority="1043" operator="equal">
      <formula>"Media"</formula>
    </cfRule>
    <cfRule type="cellIs" dxfId="843" priority="1044" operator="equal">
      <formula>"Baja"</formula>
    </cfRule>
    <cfRule type="cellIs" dxfId="842" priority="1045" operator="equal">
      <formula>"Muy Baja"</formula>
    </cfRule>
  </conditionalFormatting>
  <conditionalFormatting sqref="L10:L11 L13:L15 AA13:AA14">
    <cfRule type="cellIs" dxfId="841" priority="1036" operator="equal">
      <formula>"Catastrófico"</formula>
    </cfRule>
    <cfRule type="cellIs" dxfId="840" priority="1037" operator="equal">
      <formula>"Mayor"</formula>
    </cfRule>
    <cfRule type="cellIs" dxfId="839" priority="1038" operator="equal">
      <formula>"Moderado"</formula>
    </cfRule>
    <cfRule type="cellIs" dxfId="838" priority="1039" operator="equal">
      <formula>"Menor"</formula>
    </cfRule>
    <cfRule type="cellIs" dxfId="837" priority="1040" operator="equal">
      <formula>"Leve"</formula>
    </cfRule>
  </conditionalFormatting>
  <conditionalFormatting sqref="N10 AC11:AC13">
    <cfRule type="cellIs" dxfId="836" priority="1032" operator="equal">
      <formula>"Extremo"</formula>
    </cfRule>
    <cfRule type="cellIs" dxfId="835" priority="1033" operator="equal">
      <formula>"Alto"</formula>
    </cfRule>
    <cfRule type="cellIs" dxfId="834" priority="1034" operator="equal">
      <formula>"Moderado"</formula>
    </cfRule>
    <cfRule type="cellIs" dxfId="833" priority="1035" operator="equal">
      <formula>"Bajo"</formula>
    </cfRule>
  </conditionalFormatting>
  <conditionalFormatting sqref="Y10">
    <cfRule type="cellIs" dxfId="832" priority="1027" operator="equal">
      <formula>"Muy Alta"</formula>
    </cfRule>
    <cfRule type="cellIs" dxfId="831" priority="1028" operator="equal">
      <formula>"Alta"</formula>
    </cfRule>
    <cfRule type="cellIs" dxfId="830" priority="1029" operator="equal">
      <formula>"Media"</formula>
    </cfRule>
    <cfRule type="cellIs" dxfId="829" priority="1030" operator="equal">
      <formula>"Baja"</formula>
    </cfRule>
    <cfRule type="cellIs" dxfId="828" priority="1031" operator="equal">
      <formula>"Muy Baja"</formula>
    </cfRule>
  </conditionalFormatting>
  <conditionalFormatting sqref="AA10">
    <cfRule type="cellIs" dxfId="827" priority="1022" operator="equal">
      <formula>"Catastrófico"</formula>
    </cfRule>
    <cfRule type="cellIs" dxfId="826" priority="1023" operator="equal">
      <formula>"Mayor"</formula>
    </cfRule>
    <cfRule type="cellIs" dxfId="825" priority="1024" operator="equal">
      <formula>"Moderado"</formula>
    </cfRule>
    <cfRule type="cellIs" dxfId="824" priority="1025" operator="equal">
      <formula>"Menor"</formula>
    </cfRule>
    <cfRule type="cellIs" dxfId="823" priority="1026" operator="equal">
      <formula>"Leve"</formula>
    </cfRule>
  </conditionalFormatting>
  <conditionalFormatting sqref="AC10">
    <cfRule type="cellIs" dxfId="822" priority="1018" operator="equal">
      <formula>"Extremo"</formula>
    </cfRule>
    <cfRule type="cellIs" dxfId="821" priority="1019" operator="equal">
      <formula>"Alto"</formula>
    </cfRule>
    <cfRule type="cellIs" dxfId="820" priority="1020" operator="equal">
      <formula>"Moderado"</formula>
    </cfRule>
    <cfRule type="cellIs" dxfId="819" priority="1021" operator="equal">
      <formula>"Bajo"</formula>
    </cfRule>
  </conditionalFormatting>
  <conditionalFormatting sqref="N11 N13">
    <cfRule type="cellIs" dxfId="818" priority="1014" operator="equal">
      <formula>"Extremo"</formula>
    </cfRule>
    <cfRule type="cellIs" dxfId="817" priority="1015" operator="equal">
      <formula>"Alto"</formula>
    </cfRule>
    <cfRule type="cellIs" dxfId="816" priority="1016" operator="equal">
      <formula>"Moderado"</formula>
    </cfRule>
    <cfRule type="cellIs" dxfId="815" priority="1017" operator="equal">
      <formula>"Bajo"</formula>
    </cfRule>
  </conditionalFormatting>
  <conditionalFormatting sqref="Y11:Y12">
    <cfRule type="cellIs" dxfId="814" priority="1009" operator="equal">
      <formula>"Muy Alta"</formula>
    </cfRule>
    <cfRule type="cellIs" dxfId="813" priority="1010" operator="equal">
      <formula>"Alta"</formula>
    </cfRule>
    <cfRule type="cellIs" dxfId="812" priority="1011" operator="equal">
      <formula>"Media"</formula>
    </cfRule>
    <cfRule type="cellIs" dxfId="811" priority="1012" operator="equal">
      <formula>"Baja"</formula>
    </cfRule>
    <cfRule type="cellIs" dxfId="810" priority="1013" operator="equal">
      <formula>"Muy Baja"</formula>
    </cfRule>
  </conditionalFormatting>
  <conditionalFormatting sqref="AA11:AA12">
    <cfRule type="cellIs" dxfId="809" priority="1004" operator="equal">
      <formula>"Catastrófico"</formula>
    </cfRule>
    <cfRule type="cellIs" dxfId="808" priority="1005" operator="equal">
      <formula>"Mayor"</formula>
    </cfRule>
    <cfRule type="cellIs" dxfId="807" priority="1006" operator="equal">
      <formula>"Moderado"</formula>
    </cfRule>
    <cfRule type="cellIs" dxfId="806" priority="1007" operator="equal">
      <formula>"Menor"</formula>
    </cfRule>
    <cfRule type="cellIs" dxfId="805" priority="1008" operator="equal">
      <formula>"Leve"</formula>
    </cfRule>
  </conditionalFormatting>
  <conditionalFormatting sqref="N14">
    <cfRule type="cellIs" dxfId="804" priority="982" operator="equal">
      <formula>"Extremo"</formula>
    </cfRule>
    <cfRule type="cellIs" dxfId="803" priority="983" operator="equal">
      <formula>"Alto"</formula>
    </cfRule>
    <cfRule type="cellIs" dxfId="802" priority="984" operator="equal">
      <formula>"Moderado"</formula>
    </cfRule>
    <cfRule type="cellIs" dxfId="801" priority="985" operator="equal">
      <formula>"Bajo"</formula>
    </cfRule>
  </conditionalFormatting>
  <conditionalFormatting sqref="H15">
    <cfRule type="cellIs" dxfId="800" priority="963" operator="equal">
      <formula>"Muy Alta"</formula>
    </cfRule>
    <cfRule type="cellIs" dxfId="799" priority="964" operator="equal">
      <formula>"Alta"</formula>
    </cfRule>
    <cfRule type="cellIs" dxfId="798" priority="965" operator="equal">
      <formula>"Media"</formula>
    </cfRule>
    <cfRule type="cellIs" dxfId="797" priority="966" operator="equal">
      <formula>"Baja"</formula>
    </cfRule>
    <cfRule type="cellIs" dxfId="796" priority="967" operator="equal">
      <formula>"Muy Baja"</formula>
    </cfRule>
  </conditionalFormatting>
  <conditionalFormatting sqref="N15">
    <cfRule type="cellIs" dxfId="795" priority="959" operator="equal">
      <formula>"Extremo"</formula>
    </cfRule>
    <cfRule type="cellIs" dxfId="794" priority="960" operator="equal">
      <formula>"Alto"</formula>
    </cfRule>
    <cfRule type="cellIs" dxfId="793" priority="961" operator="equal">
      <formula>"Moderado"</formula>
    </cfRule>
    <cfRule type="cellIs" dxfId="792" priority="962" operator="equal">
      <formula>"Bajo"</formula>
    </cfRule>
  </conditionalFormatting>
  <conditionalFormatting sqref="Y15:Y16">
    <cfRule type="cellIs" dxfId="791" priority="954" operator="equal">
      <formula>"Muy Alta"</formula>
    </cfRule>
    <cfRule type="cellIs" dxfId="790" priority="955" operator="equal">
      <formula>"Alta"</formula>
    </cfRule>
    <cfRule type="cellIs" dxfId="789" priority="956" operator="equal">
      <formula>"Media"</formula>
    </cfRule>
    <cfRule type="cellIs" dxfId="788" priority="957" operator="equal">
      <formula>"Baja"</formula>
    </cfRule>
    <cfRule type="cellIs" dxfId="787" priority="958" operator="equal">
      <formula>"Muy Baja"</formula>
    </cfRule>
  </conditionalFormatting>
  <conditionalFormatting sqref="AA15:AA16">
    <cfRule type="cellIs" dxfId="786" priority="949" operator="equal">
      <formula>"Catastrófico"</formula>
    </cfRule>
    <cfRule type="cellIs" dxfId="785" priority="950" operator="equal">
      <formula>"Mayor"</formula>
    </cfRule>
    <cfRule type="cellIs" dxfId="784" priority="951" operator="equal">
      <formula>"Moderado"</formula>
    </cfRule>
    <cfRule type="cellIs" dxfId="783" priority="952" operator="equal">
      <formula>"Menor"</formula>
    </cfRule>
    <cfRule type="cellIs" dxfId="782" priority="953" operator="equal">
      <formula>"Leve"</formula>
    </cfRule>
  </conditionalFormatting>
  <conditionalFormatting sqref="AC15:AC16">
    <cfRule type="cellIs" dxfId="781" priority="945" operator="equal">
      <formula>"Extremo"</formula>
    </cfRule>
    <cfRule type="cellIs" dxfId="780" priority="946" operator="equal">
      <formula>"Alto"</formula>
    </cfRule>
    <cfRule type="cellIs" dxfId="779" priority="947" operator="equal">
      <formula>"Moderado"</formula>
    </cfRule>
    <cfRule type="cellIs" dxfId="778" priority="948" operator="equal">
      <formula>"Bajo"</formula>
    </cfRule>
  </conditionalFormatting>
  <conditionalFormatting sqref="K10:K16 K20:K86">
    <cfRule type="containsText" dxfId="777" priority="829" operator="containsText" text="❌">
      <formula>NOT(ISERROR(SEARCH("❌",K10)))</formula>
    </cfRule>
  </conditionalFormatting>
  <conditionalFormatting sqref="H14">
    <cfRule type="cellIs" dxfId="776" priority="824" operator="equal">
      <formula>"Muy Alta"</formula>
    </cfRule>
    <cfRule type="cellIs" dxfId="775" priority="825" operator="equal">
      <formula>"Alta"</formula>
    </cfRule>
    <cfRule type="cellIs" dxfId="774" priority="826" operator="equal">
      <formula>"Media"</formula>
    </cfRule>
    <cfRule type="cellIs" dxfId="773" priority="827" operator="equal">
      <formula>"Baja"</formula>
    </cfRule>
    <cfRule type="cellIs" dxfId="772" priority="828" operator="equal">
      <formula>"Muy Baja"</formula>
    </cfRule>
  </conditionalFormatting>
  <conditionalFormatting sqref="AC14">
    <cfRule type="cellIs" dxfId="771" priority="820" operator="equal">
      <formula>"Extremo"</formula>
    </cfRule>
    <cfRule type="cellIs" dxfId="770" priority="821" operator="equal">
      <formula>"Alto"</formula>
    </cfRule>
    <cfRule type="cellIs" dxfId="769" priority="822" operator="equal">
      <formula>"Moderado"</formula>
    </cfRule>
    <cfRule type="cellIs" dxfId="768" priority="823" operator="equal">
      <formula>"Bajo"</formula>
    </cfRule>
  </conditionalFormatting>
  <conditionalFormatting sqref="H17">
    <cfRule type="cellIs" dxfId="767" priority="815" operator="equal">
      <formula>"Muy Alta"</formula>
    </cfRule>
    <cfRule type="cellIs" dxfId="766" priority="816" operator="equal">
      <formula>"Alta"</formula>
    </cfRule>
    <cfRule type="cellIs" dxfId="765" priority="817" operator="equal">
      <formula>"Media"</formula>
    </cfRule>
    <cfRule type="cellIs" dxfId="764" priority="818" operator="equal">
      <formula>"Baja"</formula>
    </cfRule>
    <cfRule type="cellIs" dxfId="763" priority="819" operator="equal">
      <formula>"Muy Baja"</formula>
    </cfRule>
  </conditionalFormatting>
  <conditionalFormatting sqref="L17">
    <cfRule type="cellIs" dxfId="762" priority="810" operator="equal">
      <formula>"Catastrófico"</formula>
    </cfRule>
    <cfRule type="cellIs" dxfId="761" priority="811" operator="equal">
      <formula>"Mayor"</formula>
    </cfRule>
    <cfRule type="cellIs" dxfId="760" priority="812" operator="equal">
      <formula>"Moderado"</formula>
    </cfRule>
    <cfRule type="cellIs" dxfId="759" priority="813" operator="equal">
      <formula>"Menor"</formula>
    </cfRule>
    <cfRule type="cellIs" dxfId="758" priority="814" operator="equal">
      <formula>"Leve"</formula>
    </cfRule>
  </conditionalFormatting>
  <conditionalFormatting sqref="N17">
    <cfRule type="cellIs" dxfId="757" priority="806" operator="equal">
      <formula>"Extremo"</formula>
    </cfRule>
    <cfRule type="cellIs" dxfId="756" priority="807" operator="equal">
      <formula>"Alto"</formula>
    </cfRule>
    <cfRule type="cellIs" dxfId="755" priority="808" operator="equal">
      <formula>"Moderado"</formula>
    </cfRule>
    <cfRule type="cellIs" dxfId="754" priority="809" operator="equal">
      <formula>"Bajo"</formula>
    </cfRule>
  </conditionalFormatting>
  <conditionalFormatting sqref="Y17:Y18">
    <cfRule type="cellIs" dxfId="753" priority="801" operator="equal">
      <formula>"Muy Alta"</formula>
    </cfRule>
    <cfRule type="cellIs" dxfId="752" priority="802" operator="equal">
      <formula>"Alta"</formula>
    </cfRule>
    <cfRule type="cellIs" dxfId="751" priority="803" operator="equal">
      <formula>"Media"</formula>
    </cfRule>
    <cfRule type="cellIs" dxfId="750" priority="804" operator="equal">
      <formula>"Baja"</formula>
    </cfRule>
    <cfRule type="cellIs" dxfId="749" priority="805" operator="equal">
      <formula>"Muy Baja"</formula>
    </cfRule>
  </conditionalFormatting>
  <conditionalFormatting sqref="AA17:AA18">
    <cfRule type="cellIs" dxfId="748" priority="796" operator="equal">
      <formula>"Catastrófico"</formula>
    </cfRule>
    <cfRule type="cellIs" dxfId="747" priority="797" operator="equal">
      <formula>"Mayor"</formula>
    </cfRule>
    <cfRule type="cellIs" dxfId="746" priority="798" operator="equal">
      <formula>"Moderado"</formula>
    </cfRule>
    <cfRule type="cellIs" dxfId="745" priority="799" operator="equal">
      <formula>"Menor"</formula>
    </cfRule>
    <cfRule type="cellIs" dxfId="744" priority="800" operator="equal">
      <formula>"Leve"</formula>
    </cfRule>
  </conditionalFormatting>
  <conditionalFormatting sqref="AC17:AC18">
    <cfRule type="cellIs" dxfId="743" priority="792" operator="equal">
      <formula>"Extremo"</formula>
    </cfRule>
    <cfRule type="cellIs" dxfId="742" priority="793" operator="equal">
      <formula>"Alto"</formula>
    </cfRule>
    <cfRule type="cellIs" dxfId="741" priority="794" operator="equal">
      <formula>"Moderado"</formula>
    </cfRule>
    <cfRule type="cellIs" dxfId="740" priority="795" operator="equal">
      <formula>"Bajo"</formula>
    </cfRule>
  </conditionalFormatting>
  <conditionalFormatting sqref="K17:K18">
    <cfRule type="containsText" dxfId="739" priority="791" operator="containsText" text="❌">
      <formula>NOT(ISERROR(SEARCH("❌",K17)))</formula>
    </cfRule>
  </conditionalFormatting>
  <conditionalFormatting sqref="H19">
    <cfRule type="cellIs" dxfId="738" priority="786" operator="equal">
      <formula>"Muy Alta"</formula>
    </cfRule>
    <cfRule type="cellIs" dxfId="737" priority="787" operator="equal">
      <formula>"Alta"</formula>
    </cfRule>
    <cfRule type="cellIs" dxfId="736" priority="788" operator="equal">
      <formula>"Media"</formula>
    </cfRule>
    <cfRule type="cellIs" dxfId="735" priority="789" operator="equal">
      <formula>"Baja"</formula>
    </cfRule>
    <cfRule type="cellIs" dxfId="734" priority="790" operator="equal">
      <formula>"Muy Baja"</formula>
    </cfRule>
  </conditionalFormatting>
  <conditionalFormatting sqref="L19">
    <cfRule type="cellIs" dxfId="733" priority="781" operator="equal">
      <formula>"Catastrófico"</formula>
    </cfRule>
    <cfRule type="cellIs" dxfId="732" priority="782" operator="equal">
      <formula>"Mayor"</formula>
    </cfRule>
    <cfRule type="cellIs" dxfId="731" priority="783" operator="equal">
      <formula>"Moderado"</formula>
    </cfRule>
    <cfRule type="cellIs" dxfId="730" priority="784" operator="equal">
      <formula>"Menor"</formula>
    </cfRule>
    <cfRule type="cellIs" dxfId="729" priority="785" operator="equal">
      <formula>"Leve"</formula>
    </cfRule>
  </conditionalFormatting>
  <conditionalFormatting sqref="N19">
    <cfRule type="cellIs" dxfId="728" priority="777" operator="equal">
      <formula>"Extremo"</formula>
    </cfRule>
    <cfRule type="cellIs" dxfId="727" priority="778" operator="equal">
      <formula>"Alto"</formula>
    </cfRule>
    <cfRule type="cellIs" dxfId="726" priority="779" operator="equal">
      <formula>"Moderado"</formula>
    </cfRule>
    <cfRule type="cellIs" dxfId="725" priority="780" operator="equal">
      <formula>"Bajo"</formula>
    </cfRule>
  </conditionalFormatting>
  <conditionalFormatting sqref="Y19">
    <cfRule type="cellIs" dxfId="724" priority="772" operator="equal">
      <formula>"Muy Alta"</formula>
    </cfRule>
    <cfRule type="cellIs" dxfId="723" priority="773" operator="equal">
      <formula>"Alta"</formula>
    </cfRule>
    <cfRule type="cellIs" dxfId="722" priority="774" operator="equal">
      <formula>"Media"</formula>
    </cfRule>
    <cfRule type="cellIs" dxfId="721" priority="775" operator="equal">
      <formula>"Baja"</formula>
    </cfRule>
    <cfRule type="cellIs" dxfId="720" priority="776" operator="equal">
      <formula>"Muy Baja"</formula>
    </cfRule>
  </conditionalFormatting>
  <conditionalFormatting sqref="AA19">
    <cfRule type="cellIs" dxfId="719" priority="767" operator="equal">
      <formula>"Catastrófico"</formula>
    </cfRule>
    <cfRule type="cellIs" dxfId="718" priority="768" operator="equal">
      <formula>"Mayor"</formula>
    </cfRule>
    <cfRule type="cellIs" dxfId="717" priority="769" operator="equal">
      <formula>"Moderado"</formula>
    </cfRule>
    <cfRule type="cellIs" dxfId="716" priority="770" operator="equal">
      <formula>"Menor"</formula>
    </cfRule>
    <cfRule type="cellIs" dxfId="715" priority="771" operator="equal">
      <formula>"Leve"</formula>
    </cfRule>
  </conditionalFormatting>
  <conditionalFormatting sqref="AC19">
    <cfRule type="cellIs" dxfId="714" priority="763" operator="equal">
      <formula>"Extremo"</formula>
    </cfRule>
    <cfRule type="cellIs" dxfId="713" priority="764" operator="equal">
      <formula>"Alto"</formula>
    </cfRule>
    <cfRule type="cellIs" dxfId="712" priority="765" operator="equal">
      <formula>"Moderado"</formula>
    </cfRule>
    <cfRule type="cellIs" dxfId="711" priority="766" operator="equal">
      <formula>"Bajo"</formula>
    </cfRule>
  </conditionalFormatting>
  <conditionalFormatting sqref="K19">
    <cfRule type="containsText" dxfId="710" priority="762" operator="containsText" text="❌">
      <formula>NOT(ISERROR(SEARCH("❌",K19)))</formula>
    </cfRule>
  </conditionalFormatting>
  <conditionalFormatting sqref="H20 H22">
    <cfRule type="cellIs" dxfId="709" priority="757" operator="equal">
      <formula>"Muy Alta"</formula>
    </cfRule>
    <cfRule type="cellIs" dxfId="708" priority="758" operator="equal">
      <formula>"Alta"</formula>
    </cfRule>
    <cfRule type="cellIs" dxfId="707" priority="759" operator="equal">
      <formula>"Media"</formula>
    </cfRule>
    <cfRule type="cellIs" dxfId="706" priority="760" operator="equal">
      <formula>"Baja"</formula>
    </cfRule>
    <cfRule type="cellIs" dxfId="705" priority="761" operator="equal">
      <formula>"Muy Baja"</formula>
    </cfRule>
  </conditionalFormatting>
  <conditionalFormatting sqref="L20 L22">
    <cfRule type="cellIs" dxfId="704" priority="752" operator="equal">
      <formula>"Catastrófico"</formula>
    </cfRule>
    <cfRule type="cellIs" dxfId="703" priority="753" operator="equal">
      <formula>"Mayor"</formula>
    </cfRule>
    <cfRule type="cellIs" dxfId="702" priority="754" operator="equal">
      <formula>"Moderado"</formula>
    </cfRule>
    <cfRule type="cellIs" dxfId="701" priority="755" operator="equal">
      <formula>"Menor"</formula>
    </cfRule>
    <cfRule type="cellIs" dxfId="700" priority="756" operator="equal">
      <formula>"Leve"</formula>
    </cfRule>
  </conditionalFormatting>
  <conditionalFormatting sqref="N20">
    <cfRule type="cellIs" dxfId="699" priority="748" operator="equal">
      <formula>"Extremo"</formula>
    </cfRule>
    <cfRule type="cellIs" dxfId="698" priority="749" operator="equal">
      <formula>"Alto"</formula>
    </cfRule>
    <cfRule type="cellIs" dxfId="697" priority="750" operator="equal">
      <formula>"Moderado"</formula>
    </cfRule>
    <cfRule type="cellIs" dxfId="696" priority="751" operator="equal">
      <formula>"Bajo"</formula>
    </cfRule>
  </conditionalFormatting>
  <conditionalFormatting sqref="Y20:Y21">
    <cfRule type="cellIs" dxfId="695" priority="743" operator="equal">
      <formula>"Muy Alta"</formula>
    </cfRule>
    <cfRule type="cellIs" dxfId="694" priority="744" operator="equal">
      <formula>"Alta"</formula>
    </cfRule>
    <cfRule type="cellIs" dxfId="693" priority="745" operator="equal">
      <formula>"Media"</formula>
    </cfRule>
    <cfRule type="cellIs" dxfId="692" priority="746" operator="equal">
      <formula>"Baja"</formula>
    </cfRule>
    <cfRule type="cellIs" dxfId="691" priority="747" operator="equal">
      <formula>"Muy Baja"</formula>
    </cfRule>
  </conditionalFormatting>
  <conditionalFormatting sqref="AA20:AA21">
    <cfRule type="cellIs" dxfId="690" priority="738" operator="equal">
      <formula>"Catastrófico"</formula>
    </cfRule>
    <cfRule type="cellIs" dxfId="689" priority="739" operator="equal">
      <formula>"Mayor"</formula>
    </cfRule>
    <cfRule type="cellIs" dxfId="688" priority="740" operator="equal">
      <formula>"Moderado"</formula>
    </cfRule>
    <cfRule type="cellIs" dxfId="687" priority="741" operator="equal">
      <formula>"Menor"</formula>
    </cfRule>
    <cfRule type="cellIs" dxfId="686" priority="742" operator="equal">
      <formula>"Leve"</formula>
    </cfRule>
  </conditionalFormatting>
  <conditionalFormatting sqref="AC20:AC21">
    <cfRule type="cellIs" dxfId="685" priority="734" operator="equal">
      <formula>"Extremo"</formula>
    </cfRule>
    <cfRule type="cellIs" dxfId="684" priority="735" operator="equal">
      <formula>"Alto"</formula>
    </cfRule>
    <cfRule type="cellIs" dxfId="683" priority="736" operator="equal">
      <formula>"Moderado"</formula>
    </cfRule>
    <cfRule type="cellIs" dxfId="682" priority="737" operator="equal">
      <formula>"Bajo"</formula>
    </cfRule>
  </conditionalFormatting>
  <conditionalFormatting sqref="N22">
    <cfRule type="cellIs" dxfId="681" priority="730" operator="equal">
      <formula>"Extremo"</formula>
    </cfRule>
    <cfRule type="cellIs" dxfId="680" priority="731" operator="equal">
      <formula>"Alto"</formula>
    </cfRule>
    <cfRule type="cellIs" dxfId="679" priority="732" operator="equal">
      <formula>"Moderado"</formula>
    </cfRule>
    <cfRule type="cellIs" dxfId="678" priority="733" operator="equal">
      <formula>"Bajo"</formula>
    </cfRule>
  </conditionalFormatting>
  <conditionalFormatting sqref="Y22:Y25">
    <cfRule type="cellIs" dxfId="677" priority="725" operator="equal">
      <formula>"Muy Alta"</formula>
    </cfRule>
    <cfRule type="cellIs" dxfId="676" priority="726" operator="equal">
      <formula>"Alta"</formula>
    </cfRule>
    <cfRule type="cellIs" dxfId="675" priority="727" operator="equal">
      <formula>"Media"</formula>
    </cfRule>
    <cfRule type="cellIs" dxfId="674" priority="728" operator="equal">
      <formula>"Baja"</formula>
    </cfRule>
    <cfRule type="cellIs" dxfId="673" priority="729" operator="equal">
      <formula>"Muy Baja"</formula>
    </cfRule>
  </conditionalFormatting>
  <conditionalFormatting sqref="AA22:AA25">
    <cfRule type="cellIs" dxfId="672" priority="720" operator="equal">
      <formula>"Catastrófico"</formula>
    </cfRule>
    <cfRule type="cellIs" dxfId="671" priority="721" operator="equal">
      <formula>"Mayor"</formula>
    </cfRule>
    <cfRule type="cellIs" dxfId="670" priority="722" operator="equal">
      <formula>"Moderado"</formula>
    </cfRule>
    <cfRule type="cellIs" dxfId="669" priority="723" operator="equal">
      <formula>"Menor"</formula>
    </cfRule>
    <cfRule type="cellIs" dxfId="668" priority="724" operator="equal">
      <formula>"Leve"</formula>
    </cfRule>
  </conditionalFormatting>
  <conditionalFormatting sqref="AC22:AC25">
    <cfRule type="cellIs" dxfId="667" priority="716" operator="equal">
      <formula>"Extremo"</formula>
    </cfRule>
    <cfRule type="cellIs" dxfId="666" priority="717" operator="equal">
      <formula>"Alto"</formula>
    </cfRule>
    <cfRule type="cellIs" dxfId="665" priority="718" operator="equal">
      <formula>"Moderado"</formula>
    </cfRule>
    <cfRule type="cellIs" dxfId="664" priority="719" operator="equal">
      <formula>"Bajo"</formula>
    </cfRule>
  </conditionalFormatting>
  <conditionalFormatting sqref="L26 L28">
    <cfRule type="cellIs" dxfId="663" priority="710" operator="equal">
      <formula>"Catastrófico"</formula>
    </cfRule>
    <cfRule type="cellIs" dxfId="662" priority="711" operator="equal">
      <formula>"Mayor"</formula>
    </cfRule>
    <cfRule type="cellIs" dxfId="661" priority="712" operator="equal">
      <formula>"Moderado"</formula>
    </cfRule>
    <cfRule type="cellIs" dxfId="660" priority="713" operator="equal">
      <formula>"Menor"</formula>
    </cfRule>
    <cfRule type="cellIs" dxfId="659" priority="714" operator="equal">
      <formula>"Leve"</formula>
    </cfRule>
  </conditionalFormatting>
  <conditionalFormatting sqref="N26">
    <cfRule type="cellIs" dxfId="658" priority="706" operator="equal">
      <formula>"Extremo"</formula>
    </cfRule>
    <cfRule type="cellIs" dxfId="657" priority="707" operator="equal">
      <formula>"Alto"</formula>
    </cfRule>
    <cfRule type="cellIs" dxfId="656" priority="708" operator="equal">
      <formula>"Moderado"</formula>
    </cfRule>
    <cfRule type="cellIs" dxfId="655" priority="709" operator="equal">
      <formula>"Bajo"</formula>
    </cfRule>
  </conditionalFormatting>
  <conditionalFormatting sqref="Y26:Y27">
    <cfRule type="cellIs" dxfId="654" priority="701" operator="equal">
      <formula>"Muy Alta"</formula>
    </cfRule>
    <cfRule type="cellIs" dxfId="653" priority="702" operator="equal">
      <formula>"Alta"</formula>
    </cfRule>
    <cfRule type="cellIs" dxfId="652" priority="703" operator="equal">
      <formula>"Media"</formula>
    </cfRule>
    <cfRule type="cellIs" dxfId="651" priority="704" operator="equal">
      <formula>"Baja"</formula>
    </cfRule>
    <cfRule type="cellIs" dxfId="650" priority="705" operator="equal">
      <formula>"Muy Baja"</formula>
    </cfRule>
  </conditionalFormatting>
  <conditionalFormatting sqref="AA26:AA27">
    <cfRule type="cellIs" dxfId="649" priority="696" operator="equal">
      <formula>"Catastrófico"</formula>
    </cfRule>
    <cfRule type="cellIs" dxfId="648" priority="697" operator="equal">
      <formula>"Mayor"</formula>
    </cfRule>
    <cfRule type="cellIs" dxfId="647" priority="698" operator="equal">
      <formula>"Moderado"</formula>
    </cfRule>
    <cfRule type="cellIs" dxfId="646" priority="699" operator="equal">
      <formula>"Menor"</formula>
    </cfRule>
    <cfRule type="cellIs" dxfId="645" priority="700" operator="equal">
      <formula>"Leve"</formula>
    </cfRule>
  </conditionalFormatting>
  <conditionalFormatting sqref="AC26:AC27">
    <cfRule type="cellIs" dxfId="644" priority="692" operator="equal">
      <formula>"Extremo"</formula>
    </cfRule>
    <cfRule type="cellIs" dxfId="643" priority="693" operator="equal">
      <formula>"Alto"</formula>
    </cfRule>
    <cfRule type="cellIs" dxfId="642" priority="694" operator="equal">
      <formula>"Moderado"</formula>
    </cfRule>
    <cfRule type="cellIs" dxfId="641" priority="695" operator="equal">
      <formula>"Bajo"</formula>
    </cfRule>
  </conditionalFormatting>
  <conditionalFormatting sqref="N28">
    <cfRule type="cellIs" dxfId="640" priority="688" operator="equal">
      <formula>"Extremo"</formula>
    </cfRule>
    <cfRule type="cellIs" dxfId="639" priority="689" operator="equal">
      <formula>"Alto"</formula>
    </cfRule>
    <cfRule type="cellIs" dxfId="638" priority="690" operator="equal">
      <formula>"Moderado"</formula>
    </cfRule>
    <cfRule type="cellIs" dxfId="637" priority="691" operator="equal">
      <formula>"Bajo"</formula>
    </cfRule>
  </conditionalFormatting>
  <conditionalFormatting sqref="Y28">
    <cfRule type="cellIs" dxfId="636" priority="683" operator="equal">
      <formula>"Muy Alta"</formula>
    </cfRule>
    <cfRule type="cellIs" dxfId="635" priority="684" operator="equal">
      <formula>"Alta"</formula>
    </cfRule>
    <cfRule type="cellIs" dxfId="634" priority="685" operator="equal">
      <formula>"Media"</formula>
    </cfRule>
    <cfRule type="cellIs" dxfId="633" priority="686" operator="equal">
      <formula>"Baja"</formula>
    </cfRule>
    <cfRule type="cellIs" dxfId="632" priority="687" operator="equal">
      <formula>"Muy Baja"</formula>
    </cfRule>
  </conditionalFormatting>
  <conditionalFormatting sqref="AA28">
    <cfRule type="cellIs" dxfId="631" priority="678" operator="equal">
      <formula>"Catastrófico"</formula>
    </cfRule>
    <cfRule type="cellIs" dxfId="630" priority="679" operator="equal">
      <formula>"Mayor"</formula>
    </cfRule>
    <cfRule type="cellIs" dxfId="629" priority="680" operator="equal">
      <formula>"Moderado"</formula>
    </cfRule>
    <cfRule type="cellIs" dxfId="628" priority="681" operator="equal">
      <formula>"Menor"</formula>
    </cfRule>
    <cfRule type="cellIs" dxfId="627" priority="682" operator="equal">
      <formula>"Leve"</formula>
    </cfRule>
  </conditionalFormatting>
  <conditionalFormatting sqref="AC28">
    <cfRule type="cellIs" dxfId="626" priority="674" operator="equal">
      <formula>"Extremo"</formula>
    </cfRule>
    <cfRule type="cellIs" dxfId="625" priority="675" operator="equal">
      <formula>"Alto"</formula>
    </cfRule>
    <cfRule type="cellIs" dxfId="624" priority="676" operator="equal">
      <formula>"Moderado"</formula>
    </cfRule>
    <cfRule type="cellIs" dxfId="623" priority="677" operator="equal">
      <formula>"Bajo"</formula>
    </cfRule>
  </conditionalFormatting>
  <conditionalFormatting sqref="H28 G26:H26">
    <cfRule type="cellIs" dxfId="622" priority="668" operator="equal">
      <formula>"Muy Alta"</formula>
    </cfRule>
    <cfRule type="cellIs" dxfId="621" priority="669" operator="equal">
      <formula>"Alta"</formula>
    </cfRule>
    <cfRule type="cellIs" dxfId="620" priority="670" operator="equal">
      <formula>"Media"</formula>
    </cfRule>
    <cfRule type="cellIs" dxfId="619" priority="671" operator="equal">
      <formula>"Baja"</formula>
    </cfRule>
    <cfRule type="cellIs" dxfId="618" priority="672" operator="equal">
      <formula>"Muy Baja"</formula>
    </cfRule>
  </conditionalFormatting>
  <conditionalFormatting sqref="H29 H31">
    <cfRule type="cellIs" dxfId="617" priority="663" operator="equal">
      <formula>"Muy Alta"</formula>
    </cfRule>
    <cfRule type="cellIs" dxfId="616" priority="664" operator="equal">
      <formula>"Alta"</formula>
    </cfRule>
    <cfRule type="cellIs" dxfId="615" priority="665" operator="equal">
      <formula>"Media"</formula>
    </cfRule>
    <cfRule type="cellIs" dxfId="614" priority="666" operator="equal">
      <formula>"Baja"</formula>
    </cfRule>
    <cfRule type="cellIs" dxfId="613" priority="667" operator="equal">
      <formula>"Muy Baja"</formula>
    </cfRule>
  </conditionalFormatting>
  <conditionalFormatting sqref="L29 L31 L35 L41 L47 L53 L59 L65 L71">
    <cfRule type="cellIs" dxfId="612" priority="658" operator="equal">
      <formula>"Catastrófico"</formula>
    </cfRule>
    <cfRule type="cellIs" dxfId="611" priority="659" operator="equal">
      <formula>"Mayor"</formula>
    </cfRule>
    <cfRule type="cellIs" dxfId="610" priority="660" operator="equal">
      <formula>"Moderado"</formula>
    </cfRule>
    <cfRule type="cellIs" dxfId="609" priority="661" operator="equal">
      <formula>"Menor"</formula>
    </cfRule>
    <cfRule type="cellIs" dxfId="608" priority="662" operator="equal">
      <formula>"Leve"</formula>
    </cfRule>
  </conditionalFormatting>
  <conditionalFormatting sqref="N29">
    <cfRule type="cellIs" dxfId="607" priority="654" operator="equal">
      <formula>"Extremo"</formula>
    </cfRule>
    <cfRule type="cellIs" dxfId="606" priority="655" operator="equal">
      <formula>"Alto"</formula>
    </cfRule>
    <cfRule type="cellIs" dxfId="605" priority="656" operator="equal">
      <formula>"Moderado"</formula>
    </cfRule>
    <cfRule type="cellIs" dxfId="604" priority="657" operator="equal">
      <formula>"Bajo"</formula>
    </cfRule>
  </conditionalFormatting>
  <conditionalFormatting sqref="Y29:Y30">
    <cfRule type="cellIs" dxfId="603" priority="649" operator="equal">
      <formula>"Muy Alta"</formula>
    </cfRule>
    <cfRule type="cellIs" dxfId="602" priority="650" operator="equal">
      <formula>"Alta"</formula>
    </cfRule>
    <cfRule type="cellIs" dxfId="601" priority="651" operator="equal">
      <formula>"Media"</formula>
    </cfRule>
    <cfRule type="cellIs" dxfId="600" priority="652" operator="equal">
      <formula>"Baja"</formula>
    </cfRule>
    <cfRule type="cellIs" dxfId="599" priority="653" operator="equal">
      <formula>"Muy Baja"</formula>
    </cfRule>
  </conditionalFormatting>
  <conditionalFormatting sqref="AA29:AA30">
    <cfRule type="cellIs" dxfId="598" priority="644" operator="equal">
      <formula>"Catastrófico"</formula>
    </cfRule>
    <cfRule type="cellIs" dxfId="597" priority="645" operator="equal">
      <formula>"Mayor"</formula>
    </cfRule>
    <cfRule type="cellIs" dxfId="596" priority="646" operator="equal">
      <formula>"Moderado"</formula>
    </cfRule>
    <cfRule type="cellIs" dxfId="595" priority="647" operator="equal">
      <formula>"Menor"</formula>
    </cfRule>
    <cfRule type="cellIs" dxfId="594" priority="648" operator="equal">
      <formula>"Leve"</formula>
    </cfRule>
  </conditionalFormatting>
  <conditionalFormatting sqref="AC29:AC30">
    <cfRule type="cellIs" dxfId="593" priority="640" operator="equal">
      <formula>"Extremo"</formula>
    </cfRule>
    <cfRule type="cellIs" dxfId="592" priority="641" operator="equal">
      <formula>"Alto"</formula>
    </cfRule>
    <cfRule type="cellIs" dxfId="591" priority="642" operator="equal">
      <formula>"Moderado"</formula>
    </cfRule>
    <cfRule type="cellIs" dxfId="590" priority="643" operator="equal">
      <formula>"Bajo"</formula>
    </cfRule>
  </conditionalFormatting>
  <conditionalFormatting sqref="H71">
    <cfRule type="cellIs" dxfId="589" priority="479" operator="equal">
      <formula>"Muy Alta"</formula>
    </cfRule>
    <cfRule type="cellIs" dxfId="588" priority="480" operator="equal">
      <formula>"Alta"</formula>
    </cfRule>
    <cfRule type="cellIs" dxfId="587" priority="481" operator="equal">
      <formula>"Media"</formula>
    </cfRule>
    <cfRule type="cellIs" dxfId="586" priority="482" operator="equal">
      <formula>"Baja"</formula>
    </cfRule>
    <cfRule type="cellIs" dxfId="585" priority="483" operator="equal">
      <formula>"Muy Baja"</formula>
    </cfRule>
  </conditionalFormatting>
  <conditionalFormatting sqref="N31">
    <cfRule type="cellIs" dxfId="584" priority="636" operator="equal">
      <formula>"Extremo"</formula>
    </cfRule>
    <cfRule type="cellIs" dxfId="583" priority="637" operator="equal">
      <formula>"Alto"</formula>
    </cfRule>
    <cfRule type="cellIs" dxfId="582" priority="638" operator="equal">
      <formula>"Moderado"</formula>
    </cfRule>
    <cfRule type="cellIs" dxfId="581" priority="639" operator="equal">
      <formula>"Bajo"</formula>
    </cfRule>
  </conditionalFormatting>
  <conditionalFormatting sqref="Y31:Y34">
    <cfRule type="cellIs" dxfId="580" priority="631" operator="equal">
      <formula>"Muy Alta"</formula>
    </cfRule>
    <cfRule type="cellIs" dxfId="579" priority="632" operator="equal">
      <formula>"Alta"</formula>
    </cfRule>
    <cfRule type="cellIs" dxfId="578" priority="633" operator="equal">
      <formula>"Media"</formula>
    </cfRule>
    <cfRule type="cellIs" dxfId="577" priority="634" operator="equal">
      <formula>"Baja"</formula>
    </cfRule>
    <cfRule type="cellIs" dxfId="576" priority="635" operator="equal">
      <formula>"Muy Baja"</formula>
    </cfRule>
  </conditionalFormatting>
  <conditionalFormatting sqref="AA31:AA34">
    <cfRule type="cellIs" dxfId="575" priority="626" operator="equal">
      <formula>"Catastrófico"</formula>
    </cfRule>
    <cfRule type="cellIs" dxfId="574" priority="627" operator="equal">
      <formula>"Mayor"</formula>
    </cfRule>
    <cfRule type="cellIs" dxfId="573" priority="628" operator="equal">
      <formula>"Moderado"</formula>
    </cfRule>
    <cfRule type="cellIs" dxfId="572" priority="629" operator="equal">
      <formula>"Menor"</formula>
    </cfRule>
    <cfRule type="cellIs" dxfId="571" priority="630" operator="equal">
      <formula>"Leve"</formula>
    </cfRule>
  </conditionalFormatting>
  <conditionalFormatting sqref="AC31:AC34">
    <cfRule type="cellIs" dxfId="570" priority="622" operator="equal">
      <formula>"Extremo"</formula>
    </cfRule>
    <cfRule type="cellIs" dxfId="569" priority="623" operator="equal">
      <formula>"Alto"</formula>
    </cfRule>
    <cfRule type="cellIs" dxfId="568" priority="624" operator="equal">
      <formula>"Moderado"</formula>
    </cfRule>
    <cfRule type="cellIs" dxfId="567" priority="625" operator="equal">
      <formula>"Bajo"</formula>
    </cfRule>
  </conditionalFormatting>
  <conditionalFormatting sqref="H35">
    <cfRule type="cellIs" dxfId="566" priority="617" operator="equal">
      <formula>"Muy Alta"</formula>
    </cfRule>
    <cfRule type="cellIs" dxfId="565" priority="618" operator="equal">
      <formula>"Alta"</formula>
    </cfRule>
    <cfRule type="cellIs" dxfId="564" priority="619" operator="equal">
      <formula>"Media"</formula>
    </cfRule>
    <cfRule type="cellIs" dxfId="563" priority="620" operator="equal">
      <formula>"Baja"</formula>
    </cfRule>
    <cfRule type="cellIs" dxfId="562" priority="621" operator="equal">
      <formula>"Muy Baja"</formula>
    </cfRule>
  </conditionalFormatting>
  <conditionalFormatting sqref="N35">
    <cfRule type="cellIs" dxfId="561" priority="613" operator="equal">
      <formula>"Extremo"</formula>
    </cfRule>
    <cfRule type="cellIs" dxfId="560" priority="614" operator="equal">
      <formula>"Alto"</formula>
    </cfRule>
    <cfRule type="cellIs" dxfId="559" priority="615" operator="equal">
      <formula>"Moderado"</formula>
    </cfRule>
    <cfRule type="cellIs" dxfId="558" priority="616" operator="equal">
      <formula>"Bajo"</formula>
    </cfRule>
  </conditionalFormatting>
  <conditionalFormatting sqref="Y35:Y40">
    <cfRule type="cellIs" dxfId="557" priority="608" operator="equal">
      <formula>"Muy Alta"</formula>
    </cfRule>
    <cfRule type="cellIs" dxfId="556" priority="609" operator="equal">
      <formula>"Alta"</formula>
    </cfRule>
    <cfRule type="cellIs" dxfId="555" priority="610" operator="equal">
      <formula>"Media"</formula>
    </cfRule>
    <cfRule type="cellIs" dxfId="554" priority="611" operator="equal">
      <formula>"Baja"</formula>
    </cfRule>
    <cfRule type="cellIs" dxfId="553" priority="612" operator="equal">
      <formula>"Muy Baja"</formula>
    </cfRule>
  </conditionalFormatting>
  <conditionalFormatting sqref="AA35:AA40">
    <cfRule type="cellIs" dxfId="552" priority="603" operator="equal">
      <formula>"Catastrófico"</formula>
    </cfRule>
    <cfRule type="cellIs" dxfId="551" priority="604" operator="equal">
      <formula>"Mayor"</formula>
    </cfRule>
    <cfRule type="cellIs" dxfId="550" priority="605" operator="equal">
      <formula>"Moderado"</formula>
    </cfRule>
    <cfRule type="cellIs" dxfId="549" priority="606" operator="equal">
      <formula>"Menor"</formula>
    </cfRule>
    <cfRule type="cellIs" dxfId="548" priority="607" operator="equal">
      <formula>"Leve"</formula>
    </cfRule>
  </conditionalFormatting>
  <conditionalFormatting sqref="AC35:AC40">
    <cfRule type="cellIs" dxfId="547" priority="599" operator="equal">
      <formula>"Extremo"</formula>
    </cfRule>
    <cfRule type="cellIs" dxfId="546" priority="600" operator="equal">
      <formula>"Alto"</formula>
    </cfRule>
    <cfRule type="cellIs" dxfId="545" priority="601" operator="equal">
      <formula>"Moderado"</formula>
    </cfRule>
    <cfRule type="cellIs" dxfId="544" priority="602" operator="equal">
      <formula>"Bajo"</formula>
    </cfRule>
  </conditionalFormatting>
  <conditionalFormatting sqref="H41">
    <cfRule type="cellIs" dxfId="543" priority="594" operator="equal">
      <formula>"Muy Alta"</formula>
    </cfRule>
    <cfRule type="cellIs" dxfId="542" priority="595" operator="equal">
      <formula>"Alta"</formula>
    </cfRule>
    <cfRule type="cellIs" dxfId="541" priority="596" operator="equal">
      <formula>"Media"</formula>
    </cfRule>
    <cfRule type="cellIs" dxfId="540" priority="597" operator="equal">
      <formula>"Baja"</formula>
    </cfRule>
    <cfRule type="cellIs" dxfId="539" priority="598" operator="equal">
      <formula>"Muy Baja"</formula>
    </cfRule>
  </conditionalFormatting>
  <conditionalFormatting sqref="N41">
    <cfRule type="cellIs" dxfId="538" priority="590" operator="equal">
      <formula>"Extremo"</formula>
    </cfRule>
    <cfRule type="cellIs" dxfId="537" priority="591" operator="equal">
      <formula>"Alto"</formula>
    </cfRule>
    <cfRule type="cellIs" dxfId="536" priority="592" operator="equal">
      <formula>"Moderado"</formula>
    </cfRule>
    <cfRule type="cellIs" dxfId="535" priority="593" operator="equal">
      <formula>"Bajo"</formula>
    </cfRule>
  </conditionalFormatting>
  <conditionalFormatting sqref="Y41:Y46">
    <cfRule type="cellIs" dxfId="534" priority="585" operator="equal">
      <formula>"Muy Alta"</formula>
    </cfRule>
    <cfRule type="cellIs" dxfId="533" priority="586" operator="equal">
      <formula>"Alta"</formula>
    </cfRule>
    <cfRule type="cellIs" dxfId="532" priority="587" operator="equal">
      <formula>"Media"</formula>
    </cfRule>
    <cfRule type="cellIs" dxfId="531" priority="588" operator="equal">
      <formula>"Baja"</formula>
    </cfRule>
    <cfRule type="cellIs" dxfId="530" priority="589" operator="equal">
      <formula>"Muy Baja"</formula>
    </cfRule>
  </conditionalFormatting>
  <conditionalFormatting sqref="AA41:AA46">
    <cfRule type="cellIs" dxfId="529" priority="580" operator="equal">
      <formula>"Catastrófico"</formula>
    </cfRule>
    <cfRule type="cellIs" dxfId="528" priority="581" operator="equal">
      <formula>"Mayor"</formula>
    </cfRule>
    <cfRule type="cellIs" dxfId="527" priority="582" operator="equal">
      <formula>"Moderado"</formula>
    </cfRule>
    <cfRule type="cellIs" dxfId="526" priority="583" operator="equal">
      <formula>"Menor"</formula>
    </cfRule>
    <cfRule type="cellIs" dxfId="525" priority="584" operator="equal">
      <formula>"Leve"</formula>
    </cfRule>
  </conditionalFormatting>
  <conditionalFormatting sqref="AC41:AC46">
    <cfRule type="cellIs" dxfId="524" priority="576" operator="equal">
      <formula>"Extremo"</formula>
    </cfRule>
    <cfRule type="cellIs" dxfId="523" priority="577" operator="equal">
      <formula>"Alto"</formula>
    </cfRule>
    <cfRule type="cellIs" dxfId="522" priority="578" operator="equal">
      <formula>"Moderado"</formula>
    </cfRule>
    <cfRule type="cellIs" dxfId="521" priority="579" operator="equal">
      <formula>"Bajo"</formula>
    </cfRule>
  </conditionalFormatting>
  <conditionalFormatting sqref="H47">
    <cfRule type="cellIs" dxfId="520" priority="571" operator="equal">
      <formula>"Muy Alta"</formula>
    </cfRule>
    <cfRule type="cellIs" dxfId="519" priority="572" operator="equal">
      <formula>"Alta"</formula>
    </cfRule>
    <cfRule type="cellIs" dxfId="518" priority="573" operator="equal">
      <formula>"Media"</formula>
    </cfRule>
    <cfRule type="cellIs" dxfId="517" priority="574" operator="equal">
      <formula>"Baja"</formula>
    </cfRule>
    <cfRule type="cellIs" dxfId="516" priority="575" operator="equal">
      <formula>"Muy Baja"</formula>
    </cfRule>
  </conditionalFormatting>
  <conditionalFormatting sqref="N47">
    <cfRule type="cellIs" dxfId="515" priority="567" operator="equal">
      <formula>"Extremo"</formula>
    </cfRule>
    <cfRule type="cellIs" dxfId="514" priority="568" operator="equal">
      <formula>"Alto"</formula>
    </cfRule>
    <cfRule type="cellIs" dxfId="513" priority="569" operator="equal">
      <formula>"Moderado"</formula>
    </cfRule>
    <cfRule type="cellIs" dxfId="512" priority="570" operator="equal">
      <formula>"Bajo"</formula>
    </cfRule>
  </conditionalFormatting>
  <conditionalFormatting sqref="Y47:Y52">
    <cfRule type="cellIs" dxfId="511" priority="562" operator="equal">
      <formula>"Muy Alta"</formula>
    </cfRule>
    <cfRule type="cellIs" dxfId="510" priority="563" operator="equal">
      <formula>"Alta"</formula>
    </cfRule>
    <cfRule type="cellIs" dxfId="509" priority="564" operator="equal">
      <formula>"Media"</formula>
    </cfRule>
    <cfRule type="cellIs" dxfId="508" priority="565" operator="equal">
      <formula>"Baja"</formula>
    </cfRule>
    <cfRule type="cellIs" dxfId="507" priority="566" operator="equal">
      <formula>"Muy Baja"</formula>
    </cfRule>
  </conditionalFormatting>
  <conditionalFormatting sqref="AA47:AA52">
    <cfRule type="cellIs" dxfId="506" priority="557" operator="equal">
      <formula>"Catastrófico"</formula>
    </cfRule>
    <cfRule type="cellIs" dxfId="505" priority="558" operator="equal">
      <formula>"Mayor"</formula>
    </cfRule>
    <cfRule type="cellIs" dxfId="504" priority="559" operator="equal">
      <formula>"Moderado"</formula>
    </cfRule>
    <cfRule type="cellIs" dxfId="503" priority="560" operator="equal">
      <formula>"Menor"</formula>
    </cfRule>
    <cfRule type="cellIs" dxfId="502" priority="561" operator="equal">
      <formula>"Leve"</formula>
    </cfRule>
  </conditionalFormatting>
  <conditionalFormatting sqref="AC47:AC52">
    <cfRule type="cellIs" dxfId="501" priority="553" operator="equal">
      <formula>"Extremo"</formula>
    </cfRule>
    <cfRule type="cellIs" dxfId="500" priority="554" operator="equal">
      <formula>"Alto"</formula>
    </cfRule>
    <cfRule type="cellIs" dxfId="499" priority="555" operator="equal">
      <formula>"Moderado"</formula>
    </cfRule>
    <cfRule type="cellIs" dxfId="498" priority="556" operator="equal">
      <formula>"Bajo"</formula>
    </cfRule>
  </conditionalFormatting>
  <conditionalFormatting sqref="H53">
    <cfRule type="cellIs" dxfId="497" priority="548" operator="equal">
      <formula>"Muy Alta"</formula>
    </cfRule>
    <cfRule type="cellIs" dxfId="496" priority="549" operator="equal">
      <formula>"Alta"</formula>
    </cfRule>
    <cfRule type="cellIs" dxfId="495" priority="550" operator="equal">
      <formula>"Media"</formula>
    </cfRule>
    <cfRule type="cellIs" dxfId="494" priority="551" operator="equal">
      <formula>"Baja"</formula>
    </cfRule>
    <cfRule type="cellIs" dxfId="493" priority="552" operator="equal">
      <formula>"Muy Baja"</formula>
    </cfRule>
  </conditionalFormatting>
  <conditionalFormatting sqref="N53">
    <cfRule type="cellIs" dxfId="492" priority="544" operator="equal">
      <formula>"Extremo"</formula>
    </cfRule>
    <cfRule type="cellIs" dxfId="491" priority="545" operator="equal">
      <formula>"Alto"</formula>
    </cfRule>
    <cfRule type="cellIs" dxfId="490" priority="546" operator="equal">
      <formula>"Moderado"</formula>
    </cfRule>
    <cfRule type="cellIs" dxfId="489" priority="547" operator="equal">
      <formula>"Bajo"</formula>
    </cfRule>
  </conditionalFormatting>
  <conditionalFormatting sqref="Y53:Y58">
    <cfRule type="cellIs" dxfId="488" priority="539" operator="equal">
      <formula>"Muy Alta"</formula>
    </cfRule>
    <cfRule type="cellIs" dxfId="487" priority="540" operator="equal">
      <formula>"Alta"</formula>
    </cfRule>
    <cfRule type="cellIs" dxfId="486" priority="541" operator="equal">
      <formula>"Media"</formula>
    </cfRule>
    <cfRule type="cellIs" dxfId="485" priority="542" operator="equal">
      <formula>"Baja"</formula>
    </cfRule>
    <cfRule type="cellIs" dxfId="484" priority="543" operator="equal">
      <formula>"Muy Baja"</formula>
    </cfRule>
  </conditionalFormatting>
  <conditionalFormatting sqref="AA53:AA58">
    <cfRule type="cellIs" dxfId="483" priority="534" operator="equal">
      <formula>"Catastrófico"</formula>
    </cfRule>
    <cfRule type="cellIs" dxfId="482" priority="535" operator="equal">
      <formula>"Mayor"</formula>
    </cfRule>
    <cfRule type="cellIs" dxfId="481" priority="536" operator="equal">
      <formula>"Moderado"</formula>
    </cfRule>
    <cfRule type="cellIs" dxfId="480" priority="537" operator="equal">
      <formula>"Menor"</formula>
    </cfRule>
    <cfRule type="cellIs" dxfId="479" priority="538" operator="equal">
      <formula>"Leve"</formula>
    </cfRule>
  </conditionalFormatting>
  <conditionalFormatting sqref="AC53:AC58">
    <cfRule type="cellIs" dxfId="478" priority="530" operator="equal">
      <formula>"Extremo"</formula>
    </cfRule>
    <cfRule type="cellIs" dxfId="477" priority="531" operator="equal">
      <formula>"Alto"</formula>
    </cfRule>
    <cfRule type="cellIs" dxfId="476" priority="532" operator="equal">
      <formula>"Moderado"</formula>
    </cfRule>
    <cfRule type="cellIs" dxfId="475" priority="533" operator="equal">
      <formula>"Bajo"</formula>
    </cfRule>
  </conditionalFormatting>
  <conditionalFormatting sqref="H59">
    <cfRule type="cellIs" dxfId="474" priority="525" operator="equal">
      <formula>"Muy Alta"</formula>
    </cfRule>
    <cfRule type="cellIs" dxfId="473" priority="526" operator="equal">
      <formula>"Alta"</formula>
    </cfRule>
    <cfRule type="cellIs" dxfId="472" priority="527" operator="equal">
      <formula>"Media"</formula>
    </cfRule>
    <cfRule type="cellIs" dxfId="471" priority="528" operator="equal">
      <formula>"Baja"</formula>
    </cfRule>
    <cfRule type="cellIs" dxfId="470" priority="529" operator="equal">
      <formula>"Muy Baja"</formula>
    </cfRule>
  </conditionalFormatting>
  <conditionalFormatting sqref="N59">
    <cfRule type="cellIs" dxfId="469" priority="521" operator="equal">
      <formula>"Extremo"</formula>
    </cfRule>
    <cfRule type="cellIs" dxfId="468" priority="522" operator="equal">
      <formula>"Alto"</formula>
    </cfRule>
    <cfRule type="cellIs" dxfId="467" priority="523" operator="equal">
      <formula>"Moderado"</formula>
    </cfRule>
    <cfRule type="cellIs" dxfId="466" priority="524" operator="equal">
      <formula>"Bajo"</formula>
    </cfRule>
  </conditionalFormatting>
  <conditionalFormatting sqref="Y59:Y64">
    <cfRule type="cellIs" dxfId="465" priority="516" operator="equal">
      <formula>"Muy Alta"</formula>
    </cfRule>
    <cfRule type="cellIs" dxfId="464" priority="517" operator="equal">
      <formula>"Alta"</formula>
    </cfRule>
    <cfRule type="cellIs" dxfId="463" priority="518" operator="equal">
      <formula>"Media"</formula>
    </cfRule>
    <cfRule type="cellIs" dxfId="462" priority="519" operator="equal">
      <formula>"Baja"</formula>
    </cfRule>
    <cfRule type="cellIs" dxfId="461" priority="520" operator="equal">
      <formula>"Muy Baja"</formula>
    </cfRule>
  </conditionalFormatting>
  <conditionalFormatting sqref="AA59:AA64">
    <cfRule type="cellIs" dxfId="460" priority="511" operator="equal">
      <formula>"Catastrófico"</formula>
    </cfRule>
    <cfRule type="cellIs" dxfId="459" priority="512" operator="equal">
      <formula>"Mayor"</formula>
    </cfRule>
    <cfRule type="cellIs" dxfId="458" priority="513" operator="equal">
      <formula>"Moderado"</formula>
    </cfRule>
    <cfRule type="cellIs" dxfId="457" priority="514" operator="equal">
      <formula>"Menor"</formula>
    </cfRule>
    <cfRule type="cellIs" dxfId="456" priority="515" operator="equal">
      <formula>"Leve"</formula>
    </cfRule>
  </conditionalFormatting>
  <conditionalFormatting sqref="AC59:AC64">
    <cfRule type="cellIs" dxfId="455" priority="507" operator="equal">
      <formula>"Extremo"</formula>
    </cfRule>
    <cfRule type="cellIs" dxfId="454" priority="508" operator="equal">
      <formula>"Alto"</formula>
    </cfRule>
    <cfRule type="cellIs" dxfId="453" priority="509" operator="equal">
      <formula>"Moderado"</formula>
    </cfRule>
    <cfRule type="cellIs" dxfId="452" priority="510" operator="equal">
      <formula>"Bajo"</formula>
    </cfRule>
  </conditionalFormatting>
  <conditionalFormatting sqref="H65">
    <cfRule type="cellIs" dxfId="451" priority="502" operator="equal">
      <formula>"Muy Alta"</formula>
    </cfRule>
    <cfRule type="cellIs" dxfId="450" priority="503" operator="equal">
      <formula>"Alta"</formula>
    </cfRule>
    <cfRule type="cellIs" dxfId="449" priority="504" operator="equal">
      <formula>"Media"</formula>
    </cfRule>
    <cfRule type="cellIs" dxfId="448" priority="505" operator="equal">
      <formula>"Baja"</formula>
    </cfRule>
    <cfRule type="cellIs" dxfId="447" priority="506" operator="equal">
      <formula>"Muy Baja"</formula>
    </cfRule>
  </conditionalFormatting>
  <conditionalFormatting sqref="N65">
    <cfRule type="cellIs" dxfId="446" priority="498" operator="equal">
      <formula>"Extremo"</formula>
    </cfRule>
    <cfRule type="cellIs" dxfId="445" priority="499" operator="equal">
      <formula>"Alto"</formula>
    </cfRule>
    <cfRule type="cellIs" dxfId="444" priority="500" operator="equal">
      <formula>"Moderado"</formula>
    </cfRule>
    <cfRule type="cellIs" dxfId="443" priority="501" operator="equal">
      <formula>"Bajo"</formula>
    </cfRule>
  </conditionalFormatting>
  <conditionalFormatting sqref="Y65:Y70">
    <cfRule type="cellIs" dxfId="442" priority="493" operator="equal">
      <formula>"Muy Alta"</formula>
    </cfRule>
    <cfRule type="cellIs" dxfId="441" priority="494" operator="equal">
      <formula>"Alta"</formula>
    </cfRule>
    <cfRule type="cellIs" dxfId="440" priority="495" operator="equal">
      <formula>"Media"</formula>
    </cfRule>
    <cfRule type="cellIs" dxfId="439" priority="496" operator="equal">
      <formula>"Baja"</formula>
    </cfRule>
    <cfRule type="cellIs" dxfId="438" priority="497" operator="equal">
      <formula>"Muy Baja"</formula>
    </cfRule>
  </conditionalFormatting>
  <conditionalFormatting sqref="AA65:AA70">
    <cfRule type="cellIs" dxfId="437" priority="488" operator="equal">
      <formula>"Catastrófico"</formula>
    </cfRule>
    <cfRule type="cellIs" dxfId="436" priority="489" operator="equal">
      <formula>"Mayor"</formula>
    </cfRule>
    <cfRule type="cellIs" dxfId="435" priority="490" operator="equal">
      <formula>"Moderado"</formula>
    </cfRule>
    <cfRule type="cellIs" dxfId="434" priority="491" operator="equal">
      <formula>"Menor"</formula>
    </cfRule>
    <cfRule type="cellIs" dxfId="433" priority="492" operator="equal">
      <formula>"Leve"</formula>
    </cfRule>
  </conditionalFormatting>
  <conditionalFormatting sqref="AC65:AC70">
    <cfRule type="cellIs" dxfId="432" priority="484" operator="equal">
      <formula>"Extremo"</formula>
    </cfRule>
    <cfRule type="cellIs" dxfId="431" priority="485" operator="equal">
      <formula>"Alto"</formula>
    </cfRule>
    <cfRule type="cellIs" dxfId="430" priority="486" operator="equal">
      <formula>"Moderado"</formula>
    </cfRule>
    <cfRule type="cellIs" dxfId="429" priority="487" operator="equal">
      <formula>"Bajo"</formula>
    </cfRule>
  </conditionalFormatting>
  <conditionalFormatting sqref="N71">
    <cfRule type="cellIs" dxfId="428" priority="475" operator="equal">
      <formula>"Extremo"</formula>
    </cfRule>
    <cfRule type="cellIs" dxfId="427" priority="476" operator="equal">
      <formula>"Alto"</formula>
    </cfRule>
    <cfRule type="cellIs" dxfId="426" priority="477" operator="equal">
      <formula>"Moderado"</formula>
    </cfRule>
    <cfRule type="cellIs" dxfId="425" priority="478" operator="equal">
      <formula>"Bajo"</formula>
    </cfRule>
  </conditionalFormatting>
  <conditionalFormatting sqref="Y71:Y76">
    <cfRule type="cellIs" dxfId="424" priority="470" operator="equal">
      <formula>"Muy Alta"</formula>
    </cfRule>
    <cfRule type="cellIs" dxfId="423" priority="471" operator="equal">
      <formula>"Alta"</formula>
    </cfRule>
    <cfRule type="cellIs" dxfId="422" priority="472" operator="equal">
      <formula>"Media"</formula>
    </cfRule>
    <cfRule type="cellIs" dxfId="421" priority="473" operator="equal">
      <formula>"Baja"</formula>
    </cfRule>
    <cfRule type="cellIs" dxfId="420" priority="474" operator="equal">
      <formula>"Muy Baja"</formula>
    </cfRule>
  </conditionalFormatting>
  <conditionalFormatting sqref="AA71:AA76">
    <cfRule type="cellIs" dxfId="419" priority="465" operator="equal">
      <formula>"Catastrófico"</formula>
    </cfRule>
    <cfRule type="cellIs" dxfId="418" priority="466" operator="equal">
      <formula>"Mayor"</formula>
    </cfRule>
    <cfRule type="cellIs" dxfId="417" priority="467" operator="equal">
      <formula>"Moderado"</formula>
    </cfRule>
    <cfRule type="cellIs" dxfId="416" priority="468" operator="equal">
      <formula>"Menor"</formula>
    </cfRule>
    <cfRule type="cellIs" dxfId="415" priority="469" operator="equal">
      <formula>"Leve"</formula>
    </cfRule>
  </conditionalFormatting>
  <conditionalFormatting sqref="AC71:AC76">
    <cfRule type="cellIs" dxfId="414" priority="461" operator="equal">
      <formula>"Extremo"</formula>
    </cfRule>
    <cfRule type="cellIs" dxfId="413" priority="462" operator="equal">
      <formula>"Alto"</formula>
    </cfRule>
    <cfRule type="cellIs" dxfId="412" priority="463" operator="equal">
      <formula>"Moderado"</formula>
    </cfRule>
    <cfRule type="cellIs" dxfId="411" priority="464" operator="equal">
      <formula>"Bajo"</formula>
    </cfRule>
  </conditionalFormatting>
  <conditionalFormatting sqref="H77 H79">
    <cfRule type="cellIs" dxfId="410" priority="432" operator="equal">
      <formula>"Muy Alta"</formula>
    </cfRule>
    <cfRule type="cellIs" dxfId="409" priority="433" operator="equal">
      <formula>"Alta"</formula>
    </cfRule>
    <cfRule type="cellIs" dxfId="408" priority="434" operator="equal">
      <formula>"Media"</formula>
    </cfRule>
    <cfRule type="cellIs" dxfId="407" priority="435" operator="equal">
      <formula>"Baja"</formula>
    </cfRule>
    <cfRule type="cellIs" dxfId="406" priority="436" operator="equal">
      <formula>"Muy Baja"</formula>
    </cfRule>
  </conditionalFormatting>
  <conditionalFormatting sqref="L77 L79">
    <cfRule type="cellIs" dxfId="405" priority="427" operator="equal">
      <formula>"Catastrófico"</formula>
    </cfRule>
    <cfRule type="cellIs" dxfId="404" priority="428" operator="equal">
      <formula>"Mayor"</formula>
    </cfRule>
    <cfRule type="cellIs" dxfId="403" priority="429" operator="equal">
      <formula>"Moderado"</formula>
    </cfRule>
    <cfRule type="cellIs" dxfId="402" priority="430" operator="equal">
      <formula>"Menor"</formula>
    </cfRule>
    <cfRule type="cellIs" dxfId="401" priority="431" operator="equal">
      <formula>"Leve"</formula>
    </cfRule>
  </conditionalFormatting>
  <conditionalFormatting sqref="N77">
    <cfRule type="cellIs" dxfId="400" priority="423" operator="equal">
      <formula>"Extremo"</formula>
    </cfRule>
    <cfRule type="cellIs" dxfId="399" priority="424" operator="equal">
      <formula>"Alto"</formula>
    </cfRule>
    <cfRule type="cellIs" dxfId="398" priority="425" operator="equal">
      <formula>"Moderado"</formula>
    </cfRule>
    <cfRule type="cellIs" dxfId="397" priority="426" operator="equal">
      <formula>"Bajo"</formula>
    </cfRule>
  </conditionalFormatting>
  <conditionalFormatting sqref="Y77:Y78">
    <cfRule type="cellIs" dxfId="396" priority="418" operator="equal">
      <formula>"Muy Alta"</formula>
    </cfRule>
    <cfRule type="cellIs" dxfId="395" priority="419" operator="equal">
      <formula>"Alta"</formula>
    </cfRule>
    <cfRule type="cellIs" dxfId="394" priority="420" operator="equal">
      <formula>"Media"</formula>
    </cfRule>
    <cfRule type="cellIs" dxfId="393" priority="421" operator="equal">
      <formula>"Baja"</formula>
    </cfRule>
    <cfRule type="cellIs" dxfId="392" priority="422" operator="equal">
      <formula>"Muy Baja"</formula>
    </cfRule>
  </conditionalFormatting>
  <conditionalFormatting sqref="AA77:AA78">
    <cfRule type="cellIs" dxfId="391" priority="413" operator="equal">
      <formula>"Catastrófico"</formula>
    </cfRule>
    <cfRule type="cellIs" dxfId="390" priority="414" operator="equal">
      <formula>"Mayor"</formula>
    </cfRule>
    <cfRule type="cellIs" dxfId="389" priority="415" operator="equal">
      <formula>"Moderado"</formula>
    </cfRule>
    <cfRule type="cellIs" dxfId="388" priority="416" operator="equal">
      <formula>"Menor"</formula>
    </cfRule>
    <cfRule type="cellIs" dxfId="387" priority="417" operator="equal">
      <formula>"Leve"</formula>
    </cfRule>
  </conditionalFormatting>
  <conditionalFormatting sqref="AC77:AC78">
    <cfRule type="cellIs" dxfId="386" priority="409" operator="equal">
      <formula>"Extremo"</formula>
    </cfRule>
    <cfRule type="cellIs" dxfId="385" priority="410" operator="equal">
      <formula>"Alto"</formula>
    </cfRule>
    <cfRule type="cellIs" dxfId="384" priority="411" operator="equal">
      <formula>"Moderado"</formula>
    </cfRule>
    <cfRule type="cellIs" dxfId="383" priority="412" operator="equal">
      <formula>"Bajo"</formula>
    </cfRule>
  </conditionalFormatting>
  <conditionalFormatting sqref="N79">
    <cfRule type="cellIs" dxfId="382" priority="405" operator="equal">
      <formula>"Extremo"</formula>
    </cfRule>
    <cfRule type="cellIs" dxfId="381" priority="406" operator="equal">
      <formula>"Alto"</formula>
    </cfRule>
    <cfRule type="cellIs" dxfId="380" priority="407" operator="equal">
      <formula>"Moderado"</formula>
    </cfRule>
    <cfRule type="cellIs" dxfId="379" priority="408" operator="equal">
      <formula>"Bajo"</formula>
    </cfRule>
  </conditionalFormatting>
  <conditionalFormatting sqref="Y79:Y82">
    <cfRule type="cellIs" dxfId="378" priority="400" operator="equal">
      <formula>"Muy Alta"</formula>
    </cfRule>
    <cfRule type="cellIs" dxfId="377" priority="401" operator="equal">
      <formula>"Alta"</formula>
    </cfRule>
    <cfRule type="cellIs" dxfId="376" priority="402" operator="equal">
      <formula>"Media"</formula>
    </cfRule>
    <cfRule type="cellIs" dxfId="375" priority="403" operator="equal">
      <formula>"Baja"</formula>
    </cfRule>
    <cfRule type="cellIs" dxfId="374" priority="404" operator="equal">
      <formula>"Muy Baja"</formula>
    </cfRule>
  </conditionalFormatting>
  <conditionalFormatting sqref="AA79:AA82">
    <cfRule type="cellIs" dxfId="373" priority="395" operator="equal">
      <formula>"Catastrófico"</formula>
    </cfRule>
    <cfRule type="cellIs" dxfId="372" priority="396" operator="equal">
      <formula>"Mayor"</formula>
    </cfRule>
    <cfRule type="cellIs" dxfId="371" priority="397" operator="equal">
      <formula>"Moderado"</formula>
    </cfRule>
    <cfRule type="cellIs" dxfId="370" priority="398" operator="equal">
      <formula>"Menor"</formula>
    </cfRule>
    <cfRule type="cellIs" dxfId="369" priority="399" operator="equal">
      <formula>"Leve"</formula>
    </cfRule>
  </conditionalFormatting>
  <conditionalFormatting sqref="AC79:AC82">
    <cfRule type="cellIs" dxfId="368" priority="391" operator="equal">
      <formula>"Extremo"</formula>
    </cfRule>
    <cfRule type="cellIs" dxfId="367" priority="392" operator="equal">
      <formula>"Alto"</formula>
    </cfRule>
    <cfRule type="cellIs" dxfId="366" priority="393" operator="equal">
      <formula>"Moderado"</formula>
    </cfRule>
    <cfRule type="cellIs" dxfId="365" priority="394" operator="equal">
      <formula>"Bajo"</formula>
    </cfRule>
  </conditionalFormatting>
  <conditionalFormatting sqref="L83:L86">
    <cfRule type="cellIs" dxfId="364" priority="385" operator="equal">
      <formula>"Catastrófico"</formula>
    </cfRule>
    <cfRule type="cellIs" dxfId="363" priority="386" operator="equal">
      <formula>"Mayor"</formula>
    </cfRule>
    <cfRule type="cellIs" dxfId="362" priority="387" operator="equal">
      <formula>"Moderado"</formula>
    </cfRule>
    <cfRule type="cellIs" dxfId="361" priority="388" operator="equal">
      <formula>"Menor"</formula>
    </cfRule>
    <cfRule type="cellIs" dxfId="360" priority="389" operator="equal">
      <formula>"Leve"</formula>
    </cfRule>
  </conditionalFormatting>
  <conditionalFormatting sqref="H83">
    <cfRule type="cellIs" dxfId="359" priority="380" operator="equal">
      <formula>"Muy Alta"</formula>
    </cfRule>
    <cfRule type="cellIs" dxfId="358" priority="381" operator="equal">
      <formula>"Alta"</formula>
    </cfRule>
    <cfRule type="cellIs" dxfId="357" priority="382" operator="equal">
      <formula>"Media"</formula>
    </cfRule>
    <cfRule type="cellIs" dxfId="356" priority="383" operator="equal">
      <formula>"Baja"</formula>
    </cfRule>
    <cfRule type="cellIs" dxfId="355" priority="384" operator="equal">
      <formula>"Muy Baja"</formula>
    </cfRule>
  </conditionalFormatting>
  <conditionalFormatting sqref="N83">
    <cfRule type="cellIs" dxfId="354" priority="376" operator="equal">
      <formula>"Extremo"</formula>
    </cfRule>
    <cfRule type="cellIs" dxfId="353" priority="377" operator="equal">
      <formula>"Alto"</formula>
    </cfRule>
    <cfRule type="cellIs" dxfId="352" priority="378" operator="equal">
      <formula>"Moderado"</formula>
    </cfRule>
    <cfRule type="cellIs" dxfId="351" priority="379" operator="equal">
      <formula>"Bajo"</formula>
    </cfRule>
  </conditionalFormatting>
  <conditionalFormatting sqref="Y83">
    <cfRule type="cellIs" dxfId="350" priority="371" operator="equal">
      <formula>"Muy Alta"</formula>
    </cfRule>
    <cfRule type="cellIs" dxfId="349" priority="372" operator="equal">
      <formula>"Alta"</formula>
    </cfRule>
    <cfRule type="cellIs" dxfId="348" priority="373" operator="equal">
      <formula>"Media"</formula>
    </cfRule>
    <cfRule type="cellIs" dxfId="347" priority="374" operator="equal">
      <formula>"Baja"</formula>
    </cfRule>
    <cfRule type="cellIs" dxfId="346" priority="375" operator="equal">
      <formula>"Muy Baja"</formula>
    </cfRule>
  </conditionalFormatting>
  <conditionalFormatting sqref="AA83">
    <cfRule type="cellIs" dxfId="345" priority="366" operator="equal">
      <formula>"Catastrófico"</formula>
    </cfRule>
    <cfRule type="cellIs" dxfId="344" priority="367" operator="equal">
      <formula>"Mayor"</formula>
    </cfRule>
    <cfRule type="cellIs" dxfId="343" priority="368" operator="equal">
      <formula>"Moderado"</formula>
    </cfRule>
    <cfRule type="cellIs" dxfId="342" priority="369" operator="equal">
      <formula>"Menor"</formula>
    </cfRule>
    <cfRule type="cellIs" dxfId="341" priority="370" operator="equal">
      <formula>"Leve"</formula>
    </cfRule>
  </conditionalFormatting>
  <conditionalFormatting sqref="AC83">
    <cfRule type="cellIs" dxfId="340" priority="362" operator="equal">
      <formula>"Extremo"</formula>
    </cfRule>
    <cfRule type="cellIs" dxfId="339" priority="363" operator="equal">
      <formula>"Alto"</formula>
    </cfRule>
    <cfRule type="cellIs" dxfId="338" priority="364" operator="equal">
      <formula>"Moderado"</formula>
    </cfRule>
    <cfRule type="cellIs" dxfId="337" priority="365" operator="equal">
      <formula>"Bajo"</formula>
    </cfRule>
  </conditionalFormatting>
  <conditionalFormatting sqref="H84">
    <cfRule type="cellIs" dxfId="336" priority="357" operator="equal">
      <formula>"Muy Alta"</formula>
    </cfRule>
    <cfRule type="cellIs" dxfId="335" priority="358" operator="equal">
      <formula>"Alta"</formula>
    </cfRule>
    <cfRule type="cellIs" dxfId="334" priority="359" operator="equal">
      <formula>"Media"</formula>
    </cfRule>
    <cfRule type="cellIs" dxfId="333" priority="360" operator="equal">
      <formula>"Baja"</formula>
    </cfRule>
    <cfRule type="cellIs" dxfId="332" priority="361" operator="equal">
      <formula>"Muy Baja"</formula>
    </cfRule>
  </conditionalFormatting>
  <conditionalFormatting sqref="N84">
    <cfRule type="cellIs" dxfId="331" priority="353" operator="equal">
      <formula>"Extremo"</formula>
    </cfRule>
    <cfRule type="cellIs" dxfId="330" priority="354" operator="equal">
      <formula>"Alto"</formula>
    </cfRule>
    <cfRule type="cellIs" dxfId="329" priority="355" operator="equal">
      <formula>"Moderado"</formula>
    </cfRule>
    <cfRule type="cellIs" dxfId="328" priority="356" operator="equal">
      <formula>"Bajo"</formula>
    </cfRule>
  </conditionalFormatting>
  <conditionalFormatting sqref="Y84">
    <cfRule type="cellIs" dxfId="327" priority="348" operator="equal">
      <formula>"Muy Alta"</formula>
    </cfRule>
    <cfRule type="cellIs" dxfId="326" priority="349" operator="equal">
      <formula>"Alta"</formula>
    </cfRule>
    <cfRule type="cellIs" dxfId="325" priority="350" operator="equal">
      <formula>"Media"</formula>
    </cfRule>
    <cfRule type="cellIs" dxfId="324" priority="351" operator="equal">
      <formula>"Baja"</formula>
    </cfRule>
    <cfRule type="cellIs" dxfId="323" priority="352" operator="equal">
      <formula>"Muy Baja"</formula>
    </cfRule>
  </conditionalFormatting>
  <conditionalFormatting sqref="AA84">
    <cfRule type="cellIs" dxfId="322" priority="343" operator="equal">
      <formula>"Catastrófico"</formula>
    </cfRule>
    <cfRule type="cellIs" dxfId="321" priority="344" operator="equal">
      <formula>"Mayor"</formula>
    </cfRule>
    <cfRule type="cellIs" dxfId="320" priority="345" operator="equal">
      <formula>"Moderado"</formula>
    </cfRule>
    <cfRule type="cellIs" dxfId="319" priority="346" operator="equal">
      <formula>"Menor"</formula>
    </cfRule>
    <cfRule type="cellIs" dxfId="318" priority="347" operator="equal">
      <formula>"Leve"</formula>
    </cfRule>
  </conditionalFormatting>
  <conditionalFormatting sqref="AC84">
    <cfRule type="cellIs" dxfId="317" priority="339" operator="equal">
      <formula>"Extremo"</formula>
    </cfRule>
    <cfRule type="cellIs" dxfId="316" priority="340" operator="equal">
      <formula>"Alto"</formula>
    </cfRule>
    <cfRule type="cellIs" dxfId="315" priority="341" operator="equal">
      <formula>"Moderado"</formula>
    </cfRule>
    <cfRule type="cellIs" dxfId="314" priority="342" operator="equal">
      <formula>"Bajo"</formula>
    </cfRule>
  </conditionalFormatting>
  <conditionalFormatting sqref="H85">
    <cfRule type="cellIs" dxfId="313" priority="334" operator="equal">
      <formula>"Muy Alta"</formula>
    </cfRule>
    <cfRule type="cellIs" dxfId="312" priority="335" operator="equal">
      <formula>"Alta"</formula>
    </cfRule>
    <cfRule type="cellIs" dxfId="311" priority="336" operator="equal">
      <formula>"Media"</formula>
    </cfRule>
    <cfRule type="cellIs" dxfId="310" priority="337" operator="equal">
      <formula>"Baja"</formula>
    </cfRule>
    <cfRule type="cellIs" dxfId="309" priority="338" operator="equal">
      <formula>"Muy Baja"</formula>
    </cfRule>
  </conditionalFormatting>
  <conditionalFormatting sqref="N85">
    <cfRule type="cellIs" dxfId="308" priority="330" operator="equal">
      <formula>"Extremo"</formula>
    </cfRule>
    <cfRule type="cellIs" dxfId="307" priority="331" operator="equal">
      <formula>"Alto"</formula>
    </cfRule>
    <cfRule type="cellIs" dxfId="306" priority="332" operator="equal">
      <formula>"Moderado"</formula>
    </cfRule>
    <cfRule type="cellIs" dxfId="305" priority="333" operator="equal">
      <formula>"Bajo"</formula>
    </cfRule>
  </conditionalFormatting>
  <conditionalFormatting sqref="Y85">
    <cfRule type="cellIs" dxfId="304" priority="325" operator="equal">
      <formula>"Muy Alta"</formula>
    </cfRule>
    <cfRule type="cellIs" dxfId="303" priority="326" operator="equal">
      <formula>"Alta"</formula>
    </cfRule>
    <cfRule type="cellIs" dxfId="302" priority="327" operator="equal">
      <formula>"Media"</formula>
    </cfRule>
    <cfRule type="cellIs" dxfId="301" priority="328" operator="equal">
      <formula>"Baja"</formula>
    </cfRule>
    <cfRule type="cellIs" dxfId="300" priority="329" operator="equal">
      <formula>"Muy Baja"</formula>
    </cfRule>
  </conditionalFormatting>
  <conditionalFormatting sqref="AA85">
    <cfRule type="cellIs" dxfId="299" priority="320" operator="equal">
      <formula>"Catastrófico"</formula>
    </cfRule>
    <cfRule type="cellIs" dxfId="298" priority="321" operator="equal">
      <formula>"Mayor"</formula>
    </cfRule>
    <cfRule type="cellIs" dxfId="297" priority="322" operator="equal">
      <formula>"Moderado"</formula>
    </cfRule>
    <cfRule type="cellIs" dxfId="296" priority="323" operator="equal">
      <formula>"Menor"</formula>
    </cfRule>
    <cfRule type="cellIs" dxfId="295" priority="324" operator="equal">
      <formula>"Leve"</formula>
    </cfRule>
  </conditionalFormatting>
  <conditionalFormatting sqref="AC85">
    <cfRule type="cellIs" dxfId="294" priority="316" operator="equal">
      <formula>"Extremo"</formula>
    </cfRule>
    <cfRule type="cellIs" dxfId="293" priority="317" operator="equal">
      <formula>"Alto"</formula>
    </cfRule>
    <cfRule type="cellIs" dxfId="292" priority="318" operator="equal">
      <formula>"Moderado"</formula>
    </cfRule>
    <cfRule type="cellIs" dxfId="291" priority="319" operator="equal">
      <formula>"Bajo"</formula>
    </cfRule>
  </conditionalFormatting>
  <conditionalFormatting sqref="H86">
    <cfRule type="cellIs" dxfId="290" priority="288" operator="equal">
      <formula>"Muy Alta"</formula>
    </cfRule>
    <cfRule type="cellIs" dxfId="289" priority="289" operator="equal">
      <formula>"Alta"</formula>
    </cfRule>
    <cfRule type="cellIs" dxfId="288" priority="290" operator="equal">
      <formula>"Media"</formula>
    </cfRule>
    <cfRule type="cellIs" dxfId="287" priority="291" operator="equal">
      <formula>"Baja"</formula>
    </cfRule>
    <cfRule type="cellIs" dxfId="286" priority="292" operator="equal">
      <formula>"Muy Baja"</formula>
    </cfRule>
  </conditionalFormatting>
  <conditionalFormatting sqref="N86">
    <cfRule type="cellIs" dxfId="285" priority="284" operator="equal">
      <formula>"Extremo"</formula>
    </cfRule>
    <cfRule type="cellIs" dxfId="284" priority="285" operator="equal">
      <formula>"Alto"</formula>
    </cfRule>
    <cfRule type="cellIs" dxfId="283" priority="286" operator="equal">
      <formula>"Moderado"</formula>
    </cfRule>
    <cfRule type="cellIs" dxfId="282" priority="287" operator="equal">
      <formula>"Bajo"</formula>
    </cfRule>
  </conditionalFormatting>
  <conditionalFormatting sqref="Y86">
    <cfRule type="cellIs" dxfId="281" priority="279" operator="equal">
      <formula>"Muy Alta"</formula>
    </cfRule>
    <cfRule type="cellIs" dxfId="280" priority="280" operator="equal">
      <formula>"Alta"</formula>
    </cfRule>
    <cfRule type="cellIs" dxfId="279" priority="281" operator="equal">
      <formula>"Media"</formula>
    </cfRule>
    <cfRule type="cellIs" dxfId="278" priority="282" operator="equal">
      <formula>"Baja"</formula>
    </cfRule>
    <cfRule type="cellIs" dxfId="277" priority="283" operator="equal">
      <formula>"Muy Baja"</formula>
    </cfRule>
  </conditionalFormatting>
  <conditionalFormatting sqref="AA86">
    <cfRule type="cellIs" dxfId="276" priority="274" operator="equal">
      <formula>"Catastrófico"</formula>
    </cfRule>
    <cfRule type="cellIs" dxfId="275" priority="275" operator="equal">
      <formula>"Mayor"</formula>
    </cfRule>
    <cfRule type="cellIs" dxfId="274" priority="276" operator="equal">
      <formula>"Moderado"</formula>
    </cfRule>
    <cfRule type="cellIs" dxfId="273" priority="277" operator="equal">
      <formula>"Menor"</formula>
    </cfRule>
    <cfRule type="cellIs" dxfId="272" priority="278" operator="equal">
      <formula>"Leve"</formula>
    </cfRule>
  </conditionalFormatting>
  <conditionalFormatting sqref="AC86">
    <cfRule type="cellIs" dxfId="271" priority="270" operator="equal">
      <formula>"Extremo"</formula>
    </cfRule>
    <cfRule type="cellIs" dxfId="270" priority="271" operator="equal">
      <formula>"Alto"</formula>
    </cfRule>
    <cfRule type="cellIs" dxfId="269" priority="272" operator="equal">
      <formula>"Moderado"</formula>
    </cfRule>
    <cfRule type="cellIs" dxfId="268" priority="273" operator="equal">
      <formula>"Bajo"</formula>
    </cfRule>
  </conditionalFormatting>
  <conditionalFormatting sqref="H87 H89">
    <cfRule type="cellIs" dxfId="267" priority="264" operator="equal">
      <formula>"Muy Alta"</formula>
    </cfRule>
    <cfRule type="cellIs" dxfId="266" priority="265" operator="equal">
      <formula>"Alta"</formula>
    </cfRule>
    <cfRule type="cellIs" dxfId="265" priority="266" operator="equal">
      <formula>"Media"</formula>
    </cfRule>
    <cfRule type="cellIs" dxfId="264" priority="267" operator="equal">
      <formula>"Baja"</formula>
    </cfRule>
    <cfRule type="cellIs" dxfId="263" priority="268" operator="equal">
      <formula>"Muy Baja"</formula>
    </cfRule>
  </conditionalFormatting>
  <conditionalFormatting sqref="L87 L89:L94">
    <cfRule type="cellIs" dxfId="262" priority="259" operator="equal">
      <formula>"Catastrófico"</formula>
    </cfRule>
    <cfRule type="cellIs" dxfId="261" priority="260" operator="equal">
      <formula>"Mayor"</formula>
    </cfRule>
    <cfRule type="cellIs" dxfId="260" priority="261" operator="equal">
      <formula>"Moderado"</formula>
    </cfRule>
    <cfRule type="cellIs" dxfId="259" priority="262" operator="equal">
      <formula>"Menor"</formula>
    </cfRule>
    <cfRule type="cellIs" dxfId="258" priority="263" operator="equal">
      <formula>"Leve"</formula>
    </cfRule>
  </conditionalFormatting>
  <conditionalFormatting sqref="N87">
    <cfRule type="cellIs" dxfId="257" priority="255" operator="equal">
      <formula>"Extremo"</formula>
    </cfRule>
    <cfRule type="cellIs" dxfId="256" priority="256" operator="equal">
      <formula>"Alto"</formula>
    </cfRule>
    <cfRule type="cellIs" dxfId="255" priority="257" operator="equal">
      <formula>"Moderado"</formula>
    </cfRule>
    <cfRule type="cellIs" dxfId="254" priority="258" operator="equal">
      <formula>"Bajo"</formula>
    </cfRule>
  </conditionalFormatting>
  <conditionalFormatting sqref="Y87:Y88">
    <cfRule type="cellIs" dxfId="253" priority="250" operator="equal">
      <formula>"Muy Alta"</formula>
    </cfRule>
    <cfRule type="cellIs" dxfId="252" priority="251" operator="equal">
      <formula>"Alta"</formula>
    </cfRule>
    <cfRule type="cellIs" dxfId="251" priority="252" operator="equal">
      <formula>"Media"</formula>
    </cfRule>
    <cfRule type="cellIs" dxfId="250" priority="253" operator="equal">
      <formula>"Baja"</formula>
    </cfRule>
    <cfRule type="cellIs" dxfId="249" priority="254" operator="equal">
      <formula>"Muy Baja"</formula>
    </cfRule>
  </conditionalFormatting>
  <conditionalFormatting sqref="AA87:AA88">
    <cfRule type="cellIs" dxfId="248" priority="245" operator="equal">
      <formula>"Catastrófico"</formula>
    </cfRule>
    <cfRule type="cellIs" dxfId="247" priority="246" operator="equal">
      <formula>"Mayor"</formula>
    </cfRule>
    <cfRule type="cellIs" dxfId="246" priority="247" operator="equal">
      <formula>"Moderado"</formula>
    </cfRule>
    <cfRule type="cellIs" dxfId="245" priority="248" operator="equal">
      <formula>"Menor"</formula>
    </cfRule>
    <cfRule type="cellIs" dxfId="244" priority="249" operator="equal">
      <formula>"Leve"</formula>
    </cfRule>
  </conditionalFormatting>
  <conditionalFormatting sqref="AC87:AC88">
    <cfRule type="cellIs" dxfId="243" priority="241" operator="equal">
      <formula>"Extremo"</formula>
    </cfRule>
    <cfRule type="cellIs" dxfId="242" priority="242" operator="equal">
      <formula>"Alto"</formula>
    </cfRule>
    <cfRule type="cellIs" dxfId="241" priority="243" operator="equal">
      <formula>"Moderado"</formula>
    </cfRule>
    <cfRule type="cellIs" dxfId="240" priority="244" operator="equal">
      <formula>"Bajo"</formula>
    </cfRule>
  </conditionalFormatting>
  <conditionalFormatting sqref="N89">
    <cfRule type="cellIs" dxfId="239" priority="237" operator="equal">
      <formula>"Extremo"</formula>
    </cfRule>
    <cfRule type="cellIs" dxfId="238" priority="238" operator="equal">
      <formula>"Alto"</formula>
    </cfRule>
    <cfRule type="cellIs" dxfId="237" priority="239" operator="equal">
      <formula>"Moderado"</formula>
    </cfRule>
    <cfRule type="cellIs" dxfId="236" priority="240" operator="equal">
      <formula>"Bajo"</formula>
    </cfRule>
  </conditionalFormatting>
  <conditionalFormatting sqref="Y89">
    <cfRule type="cellIs" dxfId="235" priority="232" operator="equal">
      <formula>"Muy Alta"</formula>
    </cfRule>
    <cfRule type="cellIs" dxfId="234" priority="233" operator="equal">
      <formula>"Alta"</formula>
    </cfRule>
    <cfRule type="cellIs" dxfId="233" priority="234" operator="equal">
      <formula>"Media"</formula>
    </cfRule>
    <cfRule type="cellIs" dxfId="232" priority="235" operator="equal">
      <formula>"Baja"</formula>
    </cfRule>
    <cfRule type="cellIs" dxfId="231" priority="236" operator="equal">
      <formula>"Muy Baja"</formula>
    </cfRule>
  </conditionalFormatting>
  <conditionalFormatting sqref="AA89">
    <cfRule type="cellIs" dxfId="230" priority="227" operator="equal">
      <formula>"Catastrófico"</formula>
    </cfRule>
    <cfRule type="cellIs" dxfId="229" priority="228" operator="equal">
      <formula>"Mayor"</formula>
    </cfRule>
    <cfRule type="cellIs" dxfId="228" priority="229" operator="equal">
      <formula>"Moderado"</formula>
    </cfRule>
    <cfRule type="cellIs" dxfId="227" priority="230" operator="equal">
      <formula>"Menor"</formula>
    </cfRule>
    <cfRule type="cellIs" dxfId="226" priority="231" operator="equal">
      <formula>"Leve"</formula>
    </cfRule>
  </conditionalFormatting>
  <conditionalFormatting sqref="AC89">
    <cfRule type="cellIs" dxfId="225" priority="223" operator="equal">
      <formula>"Extremo"</formula>
    </cfRule>
    <cfRule type="cellIs" dxfId="224" priority="224" operator="equal">
      <formula>"Alto"</formula>
    </cfRule>
    <cfRule type="cellIs" dxfId="223" priority="225" operator="equal">
      <formula>"Moderado"</formula>
    </cfRule>
    <cfRule type="cellIs" dxfId="222" priority="226" operator="equal">
      <formula>"Bajo"</formula>
    </cfRule>
  </conditionalFormatting>
  <conditionalFormatting sqref="H90">
    <cfRule type="cellIs" dxfId="221" priority="218" operator="equal">
      <formula>"Muy Alta"</formula>
    </cfRule>
    <cfRule type="cellIs" dxfId="220" priority="219" operator="equal">
      <formula>"Alta"</formula>
    </cfRule>
    <cfRule type="cellIs" dxfId="219" priority="220" operator="equal">
      <formula>"Media"</formula>
    </cfRule>
    <cfRule type="cellIs" dxfId="218" priority="221" operator="equal">
      <formula>"Baja"</formula>
    </cfRule>
    <cfRule type="cellIs" dxfId="217" priority="222" operator="equal">
      <formula>"Muy Baja"</formula>
    </cfRule>
  </conditionalFormatting>
  <conditionalFormatting sqref="N90">
    <cfRule type="cellIs" dxfId="216" priority="214" operator="equal">
      <formula>"Extremo"</formula>
    </cfRule>
    <cfRule type="cellIs" dxfId="215" priority="215" operator="equal">
      <formula>"Alto"</formula>
    </cfRule>
    <cfRule type="cellIs" dxfId="214" priority="216" operator="equal">
      <formula>"Moderado"</formula>
    </cfRule>
    <cfRule type="cellIs" dxfId="213" priority="217" operator="equal">
      <formula>"Bajo"</formula>
    </cfRule>
  </conditionalFormatting>
  <conditionalFormatting sqref="Y90">
    <cfRule type="cellIs" dxfId="212" priority="209" operator="equal">
      <formula>"Muy Alta"</formula>
    </cfRule>
    <cfRule type="cellIs" dxfId="211" priority="210" operator="equal">
      <formula>"Alta"</formula>
    </cfRule>
    <cfRule type="cellIs" dxfId="210" priority="211" operator="equal">
      <formula>"Media"</formula>
    </cfRule>
    <cfRule type="cellIs" dxfId="209" priority="212" operator="equal">
      <formula>"Baja"</formula>
    </cfRule>
    <cfRule type="cellIs" dxfId="208" priority="213" operator="equal">
      <formula>"Muy Baja"</formula>
    </cfRule>
  </conditionalFormatting>
  <conditionalFormatting sqref="AA90">
    <cfRule type="cellIs" dxfId="207" priority="204" operator="equal">
      <formula>"Catastrófico"</formula>
    </cfRule>
    <cfRule type="cellIs" dxfId="206" priority="205" operator="equal">
      <formula>"Mayor"</formula>
    </cfRule>
    <cfRule type="cellIs" dxfId="205" priority="206" operator="equal">
      <formula>"Moderado"</formula>
    </cfRule>
    <cfRule type="cellIs" dxfId="204" priority="207" operator="equal">
      <formula>"Menor"</formula>
    </cfRule>
    <cfRule type="cellIs" dxfId="203" priority="208" operator="equal">
      <formula>"Leve"</formula>
    </cfRule>
  </conditionalFormatting>
  <conditionalFormatting sqref="AC90">
    <cfRule type="cellIs" dxfId="202" priority="200" operator="equal">
      <formula>"Extremo"</formula>
    </cfRule>
    <cfRule type="cellIs" dxfId="201" priority="201" operator="equal">
      <formula>"Alto"</formula>
    </cfRule>
    <cfRule type="cellIs" dxfId="200" priority="202" operator="equal">
      <formula>"Moderado"</formula>
    </cfRule>
    <cfRule type="cellIs" dxfId="199" priority="203" operator="equal">
      <formula>"Bajo"</formula>
    </cfRule>
  </conditionalFormatting>
  <conditionalFormatting sqref="H91">
    <cfRule type="cellIs" dxfId="198" priority="195" operator="equal">
      <formula>"Muy Alta"</formula>
    </cfRule>
    <cfRule type="cellIs" dxfId="197" priority="196" operator="equal">
      <formula>"Alta"</formula>
    </cfRule>
    <cfRule type="cellIs" dxfId="196" priority="197" operator="equal">
      <formula>"Media"</formula>
    </cfRule>
    <cfRule type="cellIs" dxfId="195" priority="198" operator="equal">
      <formula>"Baja"</formula>
    </cfRule>
    <cfRule type="cellIs" dxfId="194" priority="199" operator="equal">
      <formula>"Muy Baja"</formula>
    </cfRule>
  </conditionalFormatting>
  <conditionalFormatting sqref="N91">
    <cfRule type="cellIs" dxfId="193" priority="191" operator="equal">
      <formula>"Extremo"</formula>
    </cfRule>
    <cfRule type="cellIs" dxfId="192" priority="192" operator="equal">
      <formula>"Alto"</formula>
    </cfRule>
    <cfRule type="cellIs" dxfId="191" priority="193" operator="equal">
      <formula>"Moderado"</formula>
    </cfRule>
    <cfRule type="cellIs" dxfId="190" priority="194" operator="equal">
      <formula>"Bajo"</formula>
    </cfRule>
  </conditionalFormatting>
  <conditionalFormatting sqref="Y91">
    <cfRule type="cellIs" dxfId="189" priority="186" operator="equal">
      <formula>"Muy Alta"</formula>
    </cfRule>
    <cfRule type="cellIs" dxfId="188" priority="187" operator="equal">
      <formula>"Alta"</formula>
    </cfRule>
    <cfRule type="cellIs" dxfId="187" priority="188" operator="equal">
      <formula>"Media"</formula>
    </cfRule>
    <cfRule type="cellIs" dxfId="186" priority="189" operator="equal">
      <formula>"Baja"</formula>
    </cfRule>
    <cfRule type="cellIs" dxfId="185" priority="190" operator="equal">
      <formula>"Muy Baja"</formula>
    </cfRule>
  </conditionalFormatting>
  <conditionalFormatting sqref="AA91">
    <cfRule type="cellIs" dxfId="184" priority="181" operator="equal">
      <formula>"Catastrófico"</formula>
    </cfRule>
    <cfRule type="cellIs" dxfId="183" priority="182" operator="equal">
      <formula>"Mayor"</formula>
    </cfRule>
    <cfRule type="cellIs" dxfId="182" priority="183" operator="equal">
      <formula>"Moderado"</formula>
    </cfRule>
    <cfRule type="cellIs" dxfId="181" priority="184" operator="equal">
      <formula>"Menor"</formula>
    </cfRule>
    <cfRule type="cellIs" dxfId="180" priority="185" operator="equal">
      <formula>"Leve"</formula>
    </cfRule>
  </conditionalFormatting>
  <conditionalFormatting sqref="AC91">
    <cfRule type="cellIs" dxfId="179" priority="177" operator="equal">
      <formula>"Extremo"</formula>
    </cfRule>
    <cfRule type="cellIs" dxfId="178" priority="178" operator="equal">
      <formula>"Alto"</formula>
    </cfRule>
    <cfRule type="cellIs" dxfId="177" priority="179" operator="equal">
      <formula>"Moderado"</formula>
    </cfRule>
    <cfRule type="cellIs" dxfId="176" priority="180" operator="equal">
      <formula>"Bajo"</formula>
    </cfRule>
  </conditionalFormatting>
  <conditionalFormatting sqref="H92">
    <cfRule type="cellIs" dxfId="175" priority="172" operator="equal">
      <formula>"Muy Alta"</formula>
    </cfRule>
    <cfRule type="cellIs" dxfId="174" priority="173" operator="equal">
      <formula>"Alta"</formula>
    </cfRule>
    <cfRule type="cellIs" dxfId="173" priority="174" operator="equal">
      <formula>"Media"</formula>
    </cfRule>
    <cfRule type="cellIs" dxfId="172" priority="175" operator="equal">
      <formula>"Baja"</formula>
    </cfRule>
    <cfRule type="cellIs" dxfId="171" priority="176" operator="equal">
      <formula>"Muy Baja"</formula>
    </cfRule>
  </conditionalFormatting>
  <conditionalFormatting sqref="N92">
    <cfRule type="cellIs" dxfId="170" priority="168" operator="equal">
      <formula>"Extremo"</formula>
    </cfRule>
    <cfRule type="cellIs" dxfId="169" priority="169" operator="equal">
      <formula>"Alto"</formula>
    </cfRule>
    <cfRule type="cellIs" dxfId="168" priority="170" operator="equal">
      <formula>"Moderado"</formula>
    </cfRule>
    <cfRule type="cellIs" dxfId="167" priority="171" operator="equal">
      <formula>"Bajo"</formula>
    </cfRule>
  </conditionalFormatting>
  <conditionalFormatting sqref="Y92">
    <cfRule type="cellIs" dxfId="166" priority="163" operator="equal">
      <formula>"Muy Alta"</formula>
    </cfRule>
    <cfRule type="cellIs" dxfId="165" priority="164" operator="equal">
      <formula>"Alta"</formula>
    </cfRule>
    <cfRule type="cellIs" dxfId="164" priority="165" operator="equal">
      <formula>"Media"</formula>
    </cfRule>
    <cfRule type="cellIs" dxfId="163" priority="166" operator="equal">
      <formula>"Baja"</formula>
    </cfRule>
    <cfRule type="cellIs" dxfId="162" priority="167" operator="equal">
      <formula>"Muy Baja"</formula>
    </cfRule>
  </conditionalFormatting>
  <conditionalFormatting sqref="AA92">
    <cfRule type="cellIs" dxfId="161" priority="158" operator="equal">
      <formula>"Catastrófico"</formula>
    </cfRule>
    <cfRule type="cellIs" dxfId="160" priority="159" operator="equal">
      <formula>"Mayor"</formula>
    </cfRule>
    <cfRule type="cellIs" dxfId="159" priority="160" operator="equal">
      <formula>"Moderado"</formula>
    </cfRule>
    <cfRule type="cellIs" dxfId="158" priority="161" operator="equal">
      <formula>"Menor"</formula>
    </cfRule>
    <cfRule type="cellIs" dxfId="157" priority="162" operator="equal">
      <formula>"Leve"</formula>
    </cfRule>
  </conditionalFormatting>
  <conditionalFormatting sqref="AC92">
    <cfRule type="cellIs" dxfId="156" priority="154" operator="equal">
      <formula>"Extremo"</formula>
    </cfRule>
    <cfRule type="cellIs" dxfId="155" priority="155" operator="equal">
      <formula>"Alto"</formula>
    </cfRule>
    <cfRule type="cellIs" dxfId="154" priority="156" operator="equal">
      <formula>"Moderado"</formula>
    </cfRule>
    <cfRule type="cellIs" dxfId="153" priority="157" operator="equal">
      <formula>"Bajo"</formula>
    </cfRule>
  </conditionalFormatting>
  <conditionalFormatting sqref="H93">
    <cfRule type="cellIs" dxfId="152" priority="149" operator="equal">
      <formula>"Muy Alta"</formula>
    </cfRule>
    <cfRule type="cellIs" dxfId="151" priority="150" operator="equal">
      <formula>"Alta"</formula>
    </cfRule>
    <cfRule type="cellIs" dxfId="150" priority="151" operator="equal">
      <formula>"Media"</formula>
    </cfRule>
    <cfRule type="cellIs" dxfId="149" priority="152" operator="equal">
      <formula>"Baja"</formula>
    </cfRule>
    <cfRule type="cellIs" dxfId="148" priority="153" operator="equal">
      <formula>"Muy Baja"</formula>
    </cfRule>
  </conditionalFormatting>
  <conditionalFormatting sqref="N93">
    <cfRule type="cellIs" dxfId="147" priority="145" operator="equal">
      <formula>"Extremo"</formula>
    </cfRule>
    <cfRule type="cellIs" dxfId="146" priority="146" operator="equal">
      <formula>"Alto"</formula>
    </cfRule>
    <cfRule type="cellIs" dxfId="145" priority="147" operator="equal">
      <formula>"Moderado"</formula>
    </cfRule>
    <cfRule type="cellIs" dxfId="144" priority="148" operator="equal">
      <formula>"Bajo"</formula>
    </cfRule>
  </conditionalFormatting>
  <conditionalFormatting sqref="Y93">
    <cfRule type="cellIs" dxfId="143" priority="140" operator="equal">
      <formula>"Muy Alta"</formula>
    </cfRule>
    <cfRule type="cellIs" dxfId="142" priority="141" operator="equal">
      <formula>"Alta"</formula>
    </cfRule>
    <cfRule type="cellIs" dxfId="141" priority="142" operator="equal">
      <formula>"Media"</formula>
    </cfRule>
    <cfRule type="cellIs" dxfId="140" priority="143" operator="equal">
      <formula>"Baja"</formula>
    </cfRule>
    <cfRule type="cellIs" dxfId="139" priority="144" operator="equal">
      <formula>"Muy Baja"</formula>
    </cfRule>
  </conditionalFormatting>
  <conditionalFormatting sqref="AA93">
    <cfRule type="cellIs" dxfId="138" priority="135" operator="equal">
      <formula>"Catastrófico"</formula>
    </cfRule>
    <cfRule type="cellIs" dxfId="137" priority="136" operator="equal">
      <formula>"Mayor"</formula>
    </cfRule>
    <cfRule type="cellIs" dxfId="136" priority="137" operator="equal">
      <formula>"Moderado"</formula>
    </cfRule>
    <cfRule type="cellIs" dxfId="135" priority="138" operator="equal">
      <formula>"Menor"</formula>
    </cfRule>
    <cfRule type="cellIs" dxfId="134" priority="139" operator="equal">
      <formula>"Leve"</formula>
    </cfRule>
  </conditionalFormatting>
  <conditionalFormatting sqref="AC93">
    <cfRule type="cellIs" dxfId="133" priority="131" operator="equal">
      <formula>"Extremo"</formula>
    </cfRule>
    <cfRule type="cellIs" dxfId="132" priority="132" operator="equal">
      <formula>"Alto"</formula>
    </cfRule>
    <cfRule type="cellIs" dxfId="131" priority="133" operator="equal">
      <formula>"Moderado"</formula>
    </cfRule>
    <cfRule type="cellIs" dxfId="130" priority="134" operator="equal">
      <formula>"Bajo"</formula>
    </cfRule>
  </conditionalFormatting>
  <conditionalFormatting sqref="H94">
    <cfRule type="cellIs" dxfId="129" priority="126" operator="equal">
      <formula>"Muy Alta"</formula>
    </cfRule>
    <cfRule type="cellIs" dxfId="128" priority="127" operator="equal">
      <formula>"Alta"</formula>
    </cfRule>
    <cfRule type="cellIs" dxfId="127" priority="128" operator="equal">
      <formula>"Media"</formula>
    </cfRule>
    <cfRule type="cellIs" dxfId="126" priority="129" operator="equal">
      <formula>"Baja"</formula>
    </cfRule>
    <cfRule type="cellIs" dxfId="125" priority="130" operator="equal">
      <formula>"Muy Baja"</formula>
    </cfRule>
  </conditionalFormatting>
  <conditionalFormatting sqref="N94">
    <cfRule type="cellIs" dxfId="124" priority="122" operator="equal">
      <formula>"Extremo"</formula>
    </cfRule>
    <cfRule type="cellIs" dxfId="123" priority="123" operator="equal">
      <formula>"Alto"</formula>
    </cfRule>
    <cfRule type="cellIs" dxfId="122" priority="124" operator="equal">
      <formula>"Moderado"</formula>
    </cfRule>
    <cfRule type="cellIs" dxfId="121" priority="125" operator="equal">
      <formula>"Bajo"</formula>
    </cfRule>
  </conditionalFormatting>
  <conditionalFormatting sqref="Y94">
    <cfRule type="cellIs" dxfId="120" priority="117" operator="equal">
      <formula>"Muy Alta"</formula>
    </cfRule>
    <cfRule type="cellIs" dxfId="119" priority="118" operator="equal">
      <formula>"Alta"</formula>
    </cfRule>
    <cfRule type="cellIs" dxfId="118" priority="119" operator="equal">
      <formula>"Media"</formula>
    </cfRule>
    <cfRule type="cellIs" dxfId="117" priority="120" operator="equal">
      <formula>"Baja"</formula>
    </cfRule>
    <cfRule type="cellIs" dxfId="116" priority="121" operator="equal">
      <formula>"Muy Baja"</formula>
    </cfRule>
  </conditionalFormatting>
  <conditionalFormatting sqref="AA94">
    <cfRule type="cellIs" dxfId="115" priority="112" operator="equal">
      <formula>"Catastrófico"</formula>
    </cfRule>
    <cfRule type="cellIs" dxfId="114" priority="113" operator="equal">
      <formula>"Mayor"</formula>
    </cfRule>
    <cfRule type="cellIs" dxfId="113" priority="114" operator="equal">
      <formula>"Moderado"</formula>
    </cfRule>
    <cfRule type="cellIs" dxfId="112" priority="115" operator="equal">
      <formula>"Menor"</formula>
    </cfRule>
    <cfRule type="cellIs" dxfId="111" priority="116" operator="equal">
      <formula>"Leve"</formula>
    </cfRule>
  </conditionalFormatting>
  <conditionalFormatting sqref="AC94">
    <cfRule type="cellIs" dxfId="110" priority="108" operator="equal">
      <formula>"Extremo"</formula>
    </cfRule>
    <cfRule type="cellIs" dxfId="109" priority="109" operator="equal">
      <formula>"Alto"</formula>
    </cfRule>
    <cfRule type="cellIs" dxfId="108" priority="110" operator="equal">
      <formula>"Moderado"</formula>
    </cfRule>
    <cfRule type="cellIs" dxfId="107" priority="111" operator="equal">
      <formula>"Bajo"</formula>
    </cfRule>
  </conditionalFormatting>
  <conditionalFormatting sqref="K87:K94">
    <cfRule type="containsText" dxfId="106" priority="107" operator="containsText" text="❌">
      <formula>NOT(ISERROR(SEARCH("❌",K87)))</formula>
    </cfRule>
  </conditionalFormatting>
  <conditionalFormatting sqref="H95:H96 Y96">
    <cfRule type="cellIs" dxfId="105" priority="102" operator="equal">
      <formula>"Muy Alta"</formula>
    </cfRule>
    <cfRule type="cellIs" dxfId="104" priority="103" operator="equal">
      <formula>"Alta"</formula>
    </cfRule>
    <cfRule type="cellIs" dxfId="103" priority="104" operator="equal">
      <formula>"Media"</formula>
    </cfRule>
    <cfRule type="cellIs" dxfId="102" priority="105" operator="equal">
      <formula>"Baja"</formula>
    </cfRule>
    <cfRule type="cellIs" dxfId="101" priority="106" operator="equal">
      <formula>"Muy Baja"</formula>
    </cfRule>
  </conditionalFormatting>
  <conditionalFormatting sqref="AA96 L95:L98">
    <cfRule type="cellIs" dxfId="100" priority="97" operator="equal">
      <formula>"Catastrófico"</formula>
    </cfRule>
    <cfRule type="cellIs" dxfId="99" priority="98" operator="equal">
      <formula>"Mayor"</formula>
    </cfRule>
    <cfRule type="cellIs" dxfId="98" priority="99" operator="equal">
      <formula>"Moderado"</formula>
    </cfRule>
    <cfRule type="cellIs" dxfId="97" priority="100" operator="equal">
      <formula>"Menor"</formula>
    </cfRule>
    <cfRule type="cellIs" dxfId="96" priority="101" operator="equal">
      <formula>"Leve"</formula>
    </cfRule>
  </conditionalFormatting>
  <conditionalFormatting sqref="N95 AC96">
    <cfRule type="cellIs" dxfId="95" priority="93" operator="equal">
      <formula>"Extremo"</formula>
    </cfRule>
    <cfRule type="cellIs" dxfId="94" priority="94" operator="equal">
      <formula>"Alto"</formula>
    </cfRule>
    <cfRule type="cellIs" dxfId="93" priority="95" operator="equal">
      <formula>"Moderado"</formula>
    </cfRule>
    <cfRule type="cellIs" dxfId="92" priority="96" operator="equal">
      <formula>"Bajo"</formula>
    </cfRule>
  </conditionalFormatting>
  <conditionalFormatting sqref="Y95">
    <cfRule type="cellIs" dxfId="91" priority="88" operator="equal">
      <formula>"Muy Alta"</formula>
    </cfRule>
    <cfRule type="cellIs" dxfId="90" priority="89" operator="equal">
      <formula>"Alta"</formula>
    </cfRule>
    <cfRule type="cellIs" dxfId="89" priority="90" operator="equal">
      <formula>"Media"</formula>
    </cfRule>
    <cfRule type="cellIs" dxfId="88" priority="91" operator="equal">
      <formula>"Baja"</formula>
    </cfRule>
    <cfRule type="cellIs" dxfId="87" priority="92" operator="equal">
      <formula>"Muy Baja"</formula>
    </cfRule>
  </conditionalFormatting>
  <conditionalFormatting sqref="AA95">
    <cfRule type="cellIs" dxfId="86" priority="83" operator="equal">
      <formula>"Catastrófico"</formula>
    </cfRule>
    <cfRule type="cellIs" dxfId="85" priority="84" operator="equal">
      <formula>"Mayor"</formula>
    </cfRule>
    <cfRule type="cellIs" dxfId="84" priority="85" operator="equal">
      <formula>"Moderado"</formula>
    </cfRule>
    <cfRule type="cellIs" dxfId="83" priority="86" operator="equal">
      <formula>"Menor"</formula>
    </cfRule>
    <cfRule type="cellIs" dxfId="82" priority="87" operator="equal">
      <formula>"Leve"</formula>
    </cfRule>
  </conditionalFormatting>
  <conditionalFormatting sqref="AC95">
    <cfRule type="cellIs" dxfId="81" priority="79" operator="equal">
      <formula>"Extremo"</formula>
    </cfRule>
    <cfRule type="cellIs" dxfId="80" priority="80" operator="equal">
      <formula>"Alto"</formula>
    </cfRule>
    <cfRule type="cellIs" dxfId="79" priority="81" operator="equal">
      <formula>"Moderado"</formula>
    </cfRule>
    <cfRule type="cellIs" dxfId="78" priority="82" operator="equal">
      <formula>"Bajo"</formula>
    </cfRule>
  </conditionalFormatting>
  <conditionalFormatting sqref="N96">
    <cfRule type="cellIs" dxfId="77" priority="75" operator="equal">
      <formula>"Extremo"</formula>
    </cfRule>
    <cfRule type="cellIs" dxfId="76" priority="76" operator="equal">
      <formula>"Alto"</formula>
    </cfRule>
    <cfRule type="cellIs" dxfId="75" priority="77" operator="equal">
      <formula>"Moderado"</formula>
    </cfRule>
    <cfRule type="cellIs" dxfId="74" priority="78" operator="equal">
      <formula>"Bajo"</formula>
    </cfRule>
  </conditionalFormatting>
  <conditionalFormatting sqref="H97">
    <cfRule type="cellIs" dxfId="73" priority="70" operator="equal">
      <formula>"Muy Alta"</formula>
    </cfRule>
    <cfRule type="cellIs" dxfId="72" priority="71" operator="equal">
      <formula>"Alta"</formula>
    </cfRule>
    <cfRule type="cellIs" dxfId="71" priority="72" operator="equal">
      <formula>"Media"</formula>
    </cfRule>
    <cfRule type="cellIs" dxfId="70" priority="73" operator="equal">
      <formula>"Baja"</formula>
    </cfRule>
    <cfRule type="cellIs" dxfId="69" priority="74" operator="equal">
      <formula>"Muy Baja"</formula>
    </cfRule>
  </conditionalFormatting>
  <conditionalFormatting sqref="N97">
    <cfRule type="cellIs" dxfId="68" priority="66" operator="equal">
      <formula>"Extremo"</formula>
    </cfRule>
    <cfRule type="cellIs" dxfId="67" priority="67" operator="equal">
      <formula>"Alto"</formula>
    </cfRule>
    <cfRule type="cellIs" dxfId="66" priority="68" operator="equal">
      <formula>"Moderado"</formula>
    </cfRule>
    <cfRule type="cellIs" dxfId="65" priority="69" operator="equal">
      <formula>"Bajo"</formula>
    </cfRule>
  </conditionalFormatting>
  <conditionalFormatting sqref="Y97">
    <cfRule type="cellIs" dxfId="64" priority="61" operator="equal">
      <formula>"Muy Alta"</formula>
    </cfRule>
    <cfRule type="cellIs" dxfId="63" priority="62" operator="equal">
      <formula>"Alta"</formula>
    </cfRule>
    <cfRule type="cellIs" dxfId="62" priority="63" operator="equal">
      <formula>"Media"</formula>
    </cfRule>
    <cfRule type="cellIs" dxfId="61" priority="64" operator="equal">
      <formula>"Baja"</formula>
    </cfRule>
    <cfRule type="cellIs" dxfId="60" priority="65" operator="equal">
      <formula>"Muy Baja"</formula>
    </cfRule>
  </conditionalFormatting>
  <conditionalFormatting sqref="AA97">
    <cfRule type="cellIs" dxfId="59" priority="56" operator="equal">
      <formula>"Catastrófico"</formula>
    </cfRule>
    <cfRule type="cellIs" dxfId="58" priority="57" operator="equal">
      <formula>"Mayor"</formula>
    </cfRule>
    <cfRule type="cellIs" dxfId="57" priority="58" operator="equal">
      <formula>"Moderado"</formula>
    </cfRule>
    <cfRule type="cellIs" dxfId="56" priority="59" operator="equal">
      <formula>"Menor"</formula>
    </cfRule>
    <cfRule type="cellIs" dxfId="55" priority="60" operator="equal">
      <formula>"Leve"</formula>
    </cfRule>
  </conditionalFormatting>
  <conditionalFormatting sqref="AC97">
    <cfRule type="cellIs" dxfId="54" priority="52" operator="equal">
      <formula>"Extremo"</formula>
    </cfRule>
    <cfRule type="cellIs" dxfId="53" priority="53" operator="equal">
      <formula>"Alto"</formula>
    </cfRule>
    <cfRule type="cellIs" dxfId="52" priority="54" operator="equal">
      <formula>"Moderado"</formula>
    </cfRule>
    <cfRule type="cellIs" dxfId="51" priority="55" operator="equal">
      <formula>"Bajo"</formula>
    </cfRule>
  </conditionalFormatting>
  <conditionalFormatting sqref="K95:K98">
    <cfRule type="containsText" dxfId="50" priority="51" operator="containsText" text="❌">
      <formula>NOT(ISERROR(SEARCH("❌",K95)))</formula>
    </cfRule>
  </conditionalFormatting>
  <conditionalFormatting sqref="H98">
    <cfRule type="cellIs" dxfId="49" priority="46" operator="equal">
      <formula>"Muy Alta"</formula>
    </cfRule>
    <cfRule type="cellIs" dxfId="48" priority="47" operator="equal">
      <formula>"Alta"</formula>
    </cfRule>
    <cfRule type="cellIs" dxfId="47" priority="48" operator="equal">
      <formula>"Media"</formula>
    </cfRule>
    <cfRule type="cellIs" dxfId="46" priority="49" operator="equal">
      <formula>"Baja"</formula>
    </cfRule>
    <cfRule type="cellIs" dxfId="45" priority="50" operator="equal">
      <formula>"Muy Baja"</formula>
    </cfRule>
  </conditionalFormatting>
  <conditionalFormatting sqref="N98">
    <cfRule type="cellIs" dxfId="44" priority="42" operator="equal">
      <formula>"Extremo"</formula>
    </cfRule>
    <cfRule type="cellIs" dxfId="43" priority="43" operator="equal">
      <formula>"Alto"</formula>
    </cfRule>
    <cfRule type="cellIs" dxfId="42" priority="44" operator="equal">
      <formula>"Moderado"</formula>
    </cfRule>
    <cfRule type="cellIs" dxfId="41" priority="45" operator="equal">
      <formula>"Bajo"</formula>
    </cfRule>
  </conditionalFormatting>
  <conditionalFormatting sqref="Y98">
    <cfRule type="cellIs" dxfId="40" priority="37" operator="equal">
      <formula>"Muy Alta"</formula>
    </cfRule>
    <cfRule type="cellIs" dxfId="39" priority="38" operator="equal">
      <formula>"Alta"</formula>
    </cfRule>
    <cfRule type="cellIs" dxfId="38" priority="39" operator="equal">
      <formula>"Media"</formula>
    </cfRule>
    <cfRule type="cellIs" dxfId="37" priority="40" operator="equal">
      <formula>"Baja"</formula>
    </cfRule>
    <cfRule type="cellIs" dxfId="36" priority="41" operator="equal">
      <formula>"Muy Baja"</formula>
    </cfRule>
  </conditionalFormatting>
  <conditionalFormatting sqref="AA98">
    <cfRule type="cellIs" dxfId="35" priority="32" operator="equal">
      <formula>"Catastrófico"</formula>
    </cfRule>
    <cfRule type="cellIs" dxfId="34" priority="33" operator="equal">
      <formula>"Mayor"</formula>
    </cfRule>
    <cfRule type="cellIs" dxfId="33" priority="34" operator="equal">
      <formula>"Moderado"</formula>
    </cfRule>
    <cfRule type="cellIs" dxfId="32" priority="35" operator="equal">
      <formula>"Menor"</formula>
    </cfRule>
    <cfRule type="cellIs" dxfId="31" priority="36" operator="equal">
      <formula>"Leve"</formula>
    </cfRule>
  </conditionalFormatting>
  <conditionalFormatting sqref="AC98">
    <cfRule type="cellIs" dxfId="30" priority="28" operator="equal">
      <formula>"Extremo"</formula>
    </cfRule>
    <cfRule type="cellIs" dxfId="29" priority="29" operator="equal">
      <formula>"Alto"</formula>
    </cfRule>
    <cfRule type="cellIs" dxfId="28" priority="30" operator="equal">
      <formula>"Moderado"</formula>
    </cfRule>
    <cfRule type="cellIs" dxfId="27" priority="31" operator="equal">
      <formula>"Bajo"</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Mapa final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JESSICA FORERO</dc:creator>
  <cp:lastModifiedBy>Natalia Arias</cp:lastModifiedBy>
  <dcterms:created xsi:type="dcterms:W3CDTF">2022-09-20T14:17:50Z</dcterms:created>
  <dcterms:modified xsi:type="dcterms:W3CDTF">2022-12-19T19:27:25Z</dcterms:modified>
</cp:coreProperties>
</file>